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utgersconnect-my.sharepoint.com/personal/sl2773_sebs_rutgers_edu/Documents/01_extension/drone/"/>
    </mc:Choice>
  </mc:AlternateContent>
  <xr:revisionPtr revIDLastSave="1567" documentId="8_{40EDF667-F368-4E15-A341-3EB6CB58486B}" xr6:coauthVersionLast="47" xr6:coauthVersionMax="47" xr10:uidLastSave="{7CF63249-781D-4B5D-A03E-32D78A2708D7}"/>
  <bookViews>
    <workbookView xWindow="-4230" yWindow="-21710" windowWidth="38620" windowHeight="21100" xr2:uid="{76CF70D3-1C09-456A-B265-03153E84D2A4}"/>
  </bookViews>
  <sheets>
    <sheet name="Introduction" sheetId="1" r:id="rId1"/>
    <sheet name="1. Inputs" sheetId="7" r:id="rId2"/>
    <sheet name="2. Decision Helper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4" l="1" a="1"/>
  <c r="I4" i="4" s="1"/>
  <c r="D51" i="4"/>
  <c r="D44" i="4"/>
  <c r="D50" i="4"/>
  <c r="D43" i="4"/>
  <c r="D28" i="4"/>
  <c r="D21" i="4"/>
  <c r="D49" i="4" l="1"/>
  <c r="D42" i="4"/>
  <c r="D35" i="4"/>
  <c r="C46" i="4"/>
  <c r="C39" i="4"/>
  <c r="C32" i="4"/>
  <c r="C25" i="4"/>
  <c r="D48" i="4"/>
  <c r="D41" i="4"/>
  <c r="D34" i="4"/>
  <c r="D36" i="4" s="1"/>
  <c r="D27" i="4"/>
  <c r="D29" i="4" s="1"/>
  <c r="D30" i="4" s="1"/>
  <c r="D31" i="4" s="1"/>
  <c r="D47" i="4"/>
  <c r="D40" i="4"/>
  <c r="D33" i="4"/>
  <c r="D26" i="4"/>
  <c r="C18" i="4"/>
  <c r="D20" i="4"/>
  <c r="D19" i="4"/>
  <c r="D9" i="4"/>
  <c r="C9" i="4"/>
  <c r="C12" i="4"/>
  <c r="D12" i="4" s="1"/>
  <c r="C11" i="4"/>
  <c r="D11" i="4" s="1"/>
  <c r="C10" i="4"/>
  <c r="D10" i="4" s="1"/>
  <c r="C8" i="4"/>
  <c r="D8" i="4" s="1"/>
  <c r="C7" i="4"/>
  <c r="D7" i="4" s="1"/>
  <c r="C6" i="4"/>
  <c r="D6" i="4" s="1"/>
  <c r="C5" i="4"/>
  <c r="D5" i="4" s="1"/>
  <c r="D37" i="4" l="1"/>
  <c r="D38" i="4" s="1"/>
  <c r="I5" i="4"/>
  <c r="I7" i="4"/>
  <c r="D13" i="4" a="1"/>
  <c r="D13" i="4" s="1"/>
  <c r="I9" i="4"/>
  <c r="I8" i="4"/>
  <c r="I20" i="4"/>
  <c r="D22" i="4"/>
  <c r="D23" i="4" s="1"/>
  <c r="C13" i="4"/>
  <c r="D52" i="4" l="1"/>
  <c r="D24" i="4"/>
  <c r="D45" i="4"/>
  <c r="E17" i="4" l="1"/>
  <c r="I11" i="4" s="1" a="1"/>
  <c r="I11" i="4" s="1"/>
  <c r="I12" i="4" s="1"/>
  <c r="I6" i="4" l="1"/>
  <c r="J23" i="4" l="1"/>
  <c r="I26" i="4"/>
  <c r="I27" i="4"/>
  <c r="C15" i="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<sst xmlns="http://schemas.openxmlformats.org/spreadsheetml/2006/main" count="275" uniqueCount="132">
  <si>
    <t>Acres sprayed</t>
  </si>
  <si>
    <t>acres</t>
  </si>
  <si>
    <t>Application rate</t>
  </si>
  <si>
    <t>oz/ac</t>
  </si>
  <si>
    <t>Number of application per year</t>
  </si>
  <si>
    <t>times</t>
  </si>
  <si>
    <t>times/year</t>
  </si>
  <si>
    <t>Drone</t>
  </si>
  <si>
    <t>Price</t>
  </si>
  <si>
    <t>Quantity</t>
  </si>
  <si>
    <t>Generator</t>
  </si>
  <si>
    <t>Drone specification</t>
  </si>
  <si>
    <t>Cover Rate (ac/hr)</t>
  </si>
  <si>
    <t>Max. Speed for Spraying (mph)</t>
  </si>
  <si>
    <t>Effective Spray width (ft)</t>
  </si>
  <si>
    <t>Max. Flow Rate (gal/min)</t>
  </si>
  <si>
    <t>Battery specification</t>
  </si>
  <si>
    <t>min</t>
  </si>
  <si>
    <t>ac/hr</t>
  </si>
  <si>
    <t>mph</t>
  </si>
  <si>
    <t>ft</t>
  </si>
  <si>
    <t>gal/min</t>
  </si>
  <si>
    <t>Generator specification</t>
  </si>
  <si>
    <t xml:space="preserve">Max. Flight Time (min) </t>
  </si>
  <si>
    <t>v</t>
  </si>
  <si>
    <t>mAh</t>
  </si>
  <si>
    <t>Battery</t>
  </si>
  <si>
    <t>Total Initial Cost</t>
  </si>
  <si>
    <t>Initial Investment Costs</t>
  </si>
  <si>
    <t>Interest</t>
  </si>
  <si>
    <t>%</t>
  </si>
  <si>
    <t>Annualized Cost</t>
  </si>
  <si>
    <t>Maintenance</t>
  </si>
  <si>
    <t>Application Time</t>
  </si>
  <si>
    <t>Number of Chemical Loading</t>
  </si>
  <si>
    <t>Wage</t>
  </si>
  <si>
    <t>Chemical loading time</t>
  </si>
  <si>
    <t>Labor Costs per Application</t>
  </si>
  <si>
    <t>Total Labor Costs</t>
  </si>
  <si>
    <t>hours</t>
  </si>
  <si>
    <t>per Year</t>
  </si>
  <si>
    <t>per Application</t>
  </si>
  <si>
    <t>Chemical 5 :</t>
  </si>
  <si>
    <t>Chemical 4 :</t>
  </si>
  <si>
    <t>Chemical 3 :</t>
  </si>
  <si>
    <t>Chemical 2 :</t>
  </si>
  <si>
    <t>Chemical 1 :</t>
  </si>
  <si>
    <t>Custom rate</t>
  </si>
  <si>
    <t>When you hire someone,</t>
  </si>
  <si>
    <t>NPV</t>
  </si>
  <si>
    <t>Insurance</t>
  </si>
  <si>
    <t>per Acre</t>
  </si>
  <si>
    <t>1. Equipment</t>
  </si>
  <si>
    <t>2. Intended Use</t>
  </si>
  <si>
    <t>Lifespan</t>
  </si>
  <si>
    <t>Year</t>
  </si>
  <si>
    <t>3. Additional Costs</t>
  </si>
  <si>
    <t>Other Equipment</t>
  </si>
  <si>
    <t>Other Equipment :</t>
  </si>
  <si>
    <t>Certificates &amp; Licenses</t>
  </si>
  <si>
    <t>4. Assumptions</t>
  </si>
  <si>
    <t>FAA Drone Registration</t>
  </si>
  <si>
    <t>FAA Part 137</t>
  </si>
  <si>
    <t>Years Valid</t>
  </si>
  <si>
    <t>FAA Remote Pilot Certificate (Part107)</t>
  </si>
  <si>
    <t>per Drone</t>
  </si>
  <si>
    <t>per Test</t>
  </si>
  <si>
    <t>44807 Exemption</t>
  </si>
  <si>
    <t>Drone liability insurance</t>
  </si>
  <si>
    <t>Supporting Softwares</t>
  </si>
  <si>
    <t>Optional Study Material</t>
  </si>
  <si>
    <t>Flight software</t>
  </si>
  <si>
    <t>Post-Processing Software</t>
  </si>
  <si>
    <t>per Hour</t>
  </si>
  <si>
    <t>1. Investment Costs</t>
  </si>
  <si>
    <t>Support Vehicle</t>
  </si>
  <si>
    <t>Total Acres Sprayed per Year</t>
  </si>
  <si>
    <t>2. Drone Use Labor Costs</t>
  </si>
  <si>
    <t>Total Labor Cost per Year</t>
  </si>
  <si>
    <t>3. Total Drone Use Costs</t>
  </si>
  <si>
    <t>Annual Costs</t>
  </si>
  <si>
    <t>Annual Costs per Acre</t>
  </si>
  <si>
    <t>4. Comparison with Custom Hire</t>
  </si>
  <si>
    <t>Net Present Value of Drone Investment</t>
  </si>
  <si>
    <t>5 Year</t>
  </si>
  <si>
    <t>10 Year</t>
  </si>
  <si>
    <t>Drone investment will break-even at</t>
  </si>
  <si>
    <t>Maintenance Cost</t>
  </si>
  <si>
    <t xml:space="preserve">Labor Cost </t>
  </si>
  <si>
    <t>Insurance Cost</t>
  </si>
  <si>
    <t>Total</t>
  </si>
  <si>
    <t>In Year</t>
  </si>
  <si>
    <t>Medical Certificate</t>
  </si>
  <si>
    <t>per Person</t>
  </si>
  <si>
    <t>% use for drone application</t>
  </si>
  <si>
    <t>Supporting Vehicle</t>
  </si>
  <si>
    <t>Supporting Trailer</t>
  </si>
  <si>
    <t>Tank Capacity (gal)</t>
  </si>
  <si>
    <t>Ownership Cost</t>
  </si>
  <si>
    <t>gal</t>
  </si>
  <si>
    <t>Enter additional  insurance items.</t>
  </si>
  <si>
    <t>Enter additional  certification or license-related items.</t>
  </si>
  <si>
    <t>Enter other equipment, if any</t>
  </si>
  <si>
    <t>Enter the chemical name</t>
  </si>
  <si>
    <t>gal/kWh</t>
  </si>
  <si>
    <t>If you do not have information on cover rate,  complete the section below</t>
  </si>
  <si>
    <t>Power (v)</t>
  </si>
  <si>
    <t>Power (mAh)</t>
  </si>
  <si>
    <t>Recharge time (min)</t>
  </si>
  <si>
    <t>Fuel consumption rate (gal/kWh)</t>
  </si>
  <si>
    <t>Drone Decision Helper</t>
  </si>
  <si>
    <t>Seowoo Sophie Lee</t>
  </si>
  <si>
    <t>Assistant Extension Specialist</t>
  </si>
  <si>
    <t>seowoo.lee8@rutgers.edu</t>
  </si>
  <si>
    <t>Department of Food, Agricultural, and Resource Economics</t>
  </si>
  <si>
    <t>Rutgers University</t>
  </si>
  <si>
    <t>This tool helps estimate the cost of investing in a drone and compares the investment with the cost of custom hiring drone services. It calculates total investment costs, annual costs, break-even timing, and the net present value of the drone investment.</t>
  </si>
  <si>
    <r>
      <rPr>
        <b/>
        <sz val="11"/>
        <color theme="1"/>
        <rFont val="Aptos Narrow"/>
        <family val="2"/>
        <scheme val="minor"/>
      </rPr>
      <t>Step 1</t>
    </r>
    <r>
      <rPr>
        <sz val="11"/>
        <color theme="1"/>
        <rFont val="Aptos Narrow"/>
        <family val="2"/>
        <scheme val="minor"/>
      </rPr>
      <t>. Enter information in Sheet "1. Inputs"</t>
    </r>
  </si>
  <si>
    <t>The blue cells include default values. You may leave these values as they are, or you may change them if you have better information that reflects your own situation.</t>
  </si>
  <si>
    <r>
      <rPr>
        <b/>
        <sz val="11"/>
        <color theme="1"/>
        <rFont val="Aptos Narrow"/>
        <family val="2"/>
        <scheme val="minor"/>
      </rPr>
      <t>Enter values in the green cells.</t>
    </r>
    <r>
      <rPr>
        <sz val="11"/>
        <color theme="1"/>
        <rFont val="Aptos Narrow"/>
        <family val="2"/>
        <scheme val="minor"/>
      </rPr>
      <t xml:space="preserve"> These cells are designed for user input.</t>
    </r>
  </si>
  <si>
    <t xml:space="preserve">∙ </t>
  </si>
  <si>
    <t>Start with the Inputs sheet. This is where you will enter information about the drone, auxiliary equipment, and intended use.</t>
  </si>
  <si>
    <r>
      <rPr>
        <b/>
        <sz val="11"/>
        <color theme="1"/>
        <rFont val="Aptos Narrow"/>
        <family val="2"/>
        <scheme val="minor"/>
      </rPr>
      <t>Step 2.</t>
    </r>
    <r>
      <rPr>
        <sz val="11"/>
        <color theme="1"/>
        <rFont val="Aptos Narrow"/>
        <family val="2"/>
        <scheme val="minor"/>
      </rPr>
      <t xml:space="preserve"> Review the results in Sheet "2. Decision Helper"</t>
    </r>
  </si>
  <si>
    <t>After entering the required information in the Inputs sheet, go to the Decision Helper sheet to review the results.</t>
  </si>
  <si>
    <t>The main results are shown in the orange cells.</t>
  </si>
  <si>
    <t>To compare owning a drone with custom hiring drone services, enter your custom hire rate in the green cell on the "2.Decision Helper" sheet.</t>
  </si>
  <si>
    <t>Fuel for generator</t>
  </si>
  <si>
    <t>per Gallon</t>
  </si>
  <si>
    <t>The fuel costs for supporting vehicle is not included in this calculation</t>
  </si>
  <si>
    <t>Enter additional  software items.</t>
  </si>
  <si>
    <t>∙</t>
  </si>
  <si>
    <t>Fuel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</si>
</sst>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184">
    <xf numFmtId="0" fontId="0" fillId="0" borderId="0" xfId="0"/>
    <xf numFmtId="0" fontId="2" fillId="0" borderId="0" xfId="0" applyFont="1"/>
    <xf numFmtId="0" fontId="2" fillId="0" borderId="4" xfId="0" applyFont="1" applyBorder="1"/>
    <xf numFmtId="0" fontId="2" fillId="0" borderId="5" xfId="0" applyFont="1" applyBorder="1"/>
    <xf numFmtId="0" fontId="2" fillId="0" borderId="8" xfId="0" applyFont="1" applyBorder="1"/>
    <xf numFmtId="44" fontId="2" fillId="0" borderId="0" xfId="1" applyFont="1" applyBorder="1"/>
    <xf numFmtId="0" fontId="2" fillId="0" borderId="3" xfId="0" applyFont="1" applyBorder="1"/>
    <xf numFmtId="44" fontId="2" fillId="0" borderId="5" xfId="0" applyNumberFormat="1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6" xfId="0" applyFont="1" applyBorder="1"/>
    <xf numFmtId="0" fontId="3" fillId="2" borderId="9" xfId="0" applyFont="1" applyFill="1" applyBorder="1" applyAlignment="1">
      <alignment horizontal="center" vertical="center"/>
    </xf>
    <xf numFmtId="44" fontId="3" fillId="2" borderId="11" xfId="0" applyNumberFormat="1" applyFont="1" applyFill="1" applyBorder="1" applyAlignment="1">
      <alignment horizontal="center" vertical="center"/>
    </xf>
    <xf numFmtId="0" fontId="2" fillId="3" borderId="7" xfId="0" applyFont="1" applyFill="1" applyBorder="1"/>
    <xf numFmtId="0" fontId="2" fillId="0" borderId="23" xfId="0" applyFont="1" applyBorder="1"/>
    <xf numFmtId="0" fontId="2" fillId="0" borderId="24" xfId="0" applyFont="1" applyBorder="1"/>
    <xf numFmtId="0" fontId="2" fillId="0" borderId="25" xfId="0" applyFont="1" applyBorder="1"/>
    <xf numFmtId="44" fontId="2" fillId="0" borderId="20" xfId="0" applyNumberFormat="1" applyFont="1" applyBorder="1"/>
    <xf numFmtId="44" fontId="3" fillId="2" borderId="26" xfId="0" applyNumberFormat="1" applyFont="1" applyFill="1" applyBorder="1" applyAlignment="1">
      <alignment horizontal="center" vertical="center"/>
    </xf>
    <xf numFmtId="0" fontId="2" fillId="0" borderId="20" xfId="0" applyFont="1" applyBorder="1"/>
    <xf numFmtId="0" fontId="2" fillId="0" borderId="22" xfId="0" applyFont="1" applyBorder="1"/>
    <xf numFmtId="0" fontId="2" fillId="0" borderId="6" xfId="0" applyFont="1" applyBorder="1"/>
    <xf numFmtId="0" fontId="5" fillId="0" borderId="0" xfId="0" applyFont="1"/>
    <xf numFmtId="0" fontId="2" fillId="0" borderId="37" xfId="0" applyFont="1" applyBorder="1"/>
    <xf numFmtId="0" fontId="2" fillId="0" borderId="38" xfId="0" applyFont="1" applyBorder="1"/>
    <xf numFmtId="0" fontId="2" fillId="0" borderId="33" xfId="0" applyFont="1" applyBorder="1"/>
    <xf numFmtId="0" fontId="2" fillId="0" borderId="40" xfId="0" applyFont="1" applyBorder="1" applyAlignment="1">
      <alignment horizontal="center"/>
    </xf>
    <xf numFmtId="0" fontId="2" fillId="0" borderId="40" xfId="0" applyFont="1" applyBorder="1"/>
    <xf numFmtId="0" fontId="4" fillId="0" borderId="1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39" xfId="0" applyFont="1" applyBorder="1" applyAlignment="1">
      <alignment horizontal="right"/>
    </xf>
    <xf numFmtId="0" fontId="4" fillId="0" borderId="37" xfId="0" applyFont="1" applyBorder="1" applyAlignment="1">
      <alignment horizontal="right"/>
    </xf>
    <xf numFmtId="0" fontId="4" fillId="0" borderId="36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2" xfId="0" applyFont="1" applyBorder="1"/>
    <xf numFmtId="0" fontId="4" fillId="0" borderId="4" xfId="0" applyFont="1" applyBorder="1"/>
    <xf numFmtId="0" fontId="2" fillId="0" borderId="20" xfId="0" applyFont="1" applyBorder="1" applyAlignment="1">
      <alignment horizontal="left" indent="3"/>
    </xf>
    <xf numFmtId="0" fontId="2" fillId="0" borderId="19" xfId="0" applyFont="1" applyBorder="1"/>
    <xf numFmtId="0" fontId="2" fillId="0" borderId="13" xfId="0" applyFont="1" applyBorder="1"/>
    <xf numFmtId="0" fontId="2" fillId="0" borderId="32" xfId="0" applyFont="1" applyBorder="1"/>
    <xf numFmtId="0" fontId="2" fillId="0" borderId="12" xfId="0" applyFont="1" applyBorder="1"/>
    <xf numFmtId="0" fontId="2" fillId="0" borderId="31" xfId="0" applyFont="1" applyBorder="1"/>
    <xf numFmtId="0" fontId="2" fillId="0" borderId="1" xfId="0" applyFont="1" applyBorder="1"/>
    <xf numFmtId="0" fontId="2" fillId="3" borderId="51" xfId="0" applyFont="1" applyFill="1" applyBorder="1"/>
    <xf numFmtId="0" fontId="2" fillId="3" borderId="52" xfId="0" applyFont="1" applyFill="1" applyBorder="1"/>
    <xf numFmtId="0" fontId="2" fillId="3" borderId="14" xfId="0" applyFont="1" applyFill="1" applyBorder="1"/>
    <xf numFmtId="44" fontId="2" fillId="0" borderId="20" xfId="1" applyFont="1" applyFill="1" applyBorder="1"/>
    <xf numFmtId="44" fontId="2" fillId="0" borderId="5" xfId="1" applyFont="1" applyBorder="1"/>
    <xf numFmtId="44" fontId="2" fillId="0" borderId="0" xfId="1" applyFont="1" applyFill="1" applyBorder="1"/>
    <xf numFmtId="44" fontId="2" fillId="0" borderId="7" xfId="0" applyNumberFormat="1" applyFont="1" applyBorder="1"/>
    <xf numFmtId="0" fontId="2" fillId="0" borderId="33" xfId="0" applyFont="1" applyBorder="1" applyAlignment="1">
      <alignment horizontal="left"/>
    </xf>
    <xf numFmtId="0" fontId="2" fillId="0" borderId="61" xfId="0" applyFont="1" applyBorder="1"/>
    <xf numFmtId="44" fontId="3" fillId="2" borderId="11" xfId="0" applyNumberFormat="1" applyFont="1" applyFill="1" applyBorder="1"/>
    <xf numFmtId="44" fontId="3" fillId="2" borderId="0" xfId="0" applyNumberFormat="1" applyFont="1" applyFill="1"/>
    <xf numFmtId="44" fontId="2" fillId="0" borderId="2" xfId="0" applyNumberFormat="1" applyFont="1" applyBorder="1"/>
    <xf numFmtId="44" fontId="2" fillId="0" borderId="0" xfId="0" applyNumberFormat="1" applyFont="1"/>
    <xf numFmtId="0" fontId="3" fillId="0" borderId="9" xfId="0" applyFont="1" applyBorder="1"/>
    <xf numFmtId="0" fontId="3" fillId="2" borderId="4" xfId="0" applyFont="1" applyFill="1" applyBorder="1"/>
    <xf numFmtId="0" fontId="3" fillId="2" borderId="0" xfId="0" applyFont="1" applyFill="1"/>
    <xf numFmtId="0" fontId="3" fillId="2" borderId="5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44" fontId="3" fillId="2" borderId="7" xfId="0" applyNumberFormat="1" applyFont="1" applyFill="1" applyBorder="1"/>
    <xf numFmtId="0" fontId="3" fillId="2" borderId="8" xfId="0" applyFont="1" applyFill="1" applyBorder="1"/>
    <xf numFmtId="0" fontId="3" fillId="0" borderId="32" xfId="0" applyFont="1" applyBorder="1"/>
    <xf numFmtId="0" fontId="3" fillId="0" borderId="14" xfId="0" applyFont="1" applyBorder="1"/>
    <xf numFmtId="0" fontId="2" fillId="0" borderId="15" xfId="0" applyFont="1" applyBorder="1"/>
    <xf numFmtId="0" fontId="3" fillId="2" borderId="0" xfId="0" applyFont="1" applyFill="1" applyAlignment="1">
      <alignment horizontal="right"/>
    </xf>
    <xf numFmtId="0" fontId="3" fillId="2" borderId="5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62" xfId="1" applyNumberFormat="1" applyFont="1" applyBorder="1"/>
    <xf numFmtId="0" fontId="2" fillId="0" borderId="5" xfId="1" applyNumberFormat="1" applyFont="1" applyBorder="1"/>
    <xf numFmtId="0" fontId="2" fillId="0" borderId="63" xfId="0" applyFont="1" applyBorder="1"/>
    <xf numFmtId="0" fontId="2" fillId="0" borderId="62" xfId="0" applyFont="1" applyBorder="1"/>
    <xf numFmtId="0" fontId="2" fillId="0" borderId="50" xfId="0" applyFont="1" applyBorder="1"/>
    <xf numFmtId="0" fontId="2" fillId="0" borderId="49" xfId="0" applyFont="1" applyBorder="1"/>
    <xf numFmtId="0" fontId="2" fillId="0" borderId="58" xfId="0" applyFont="1" applyBorder="1" applyAlignment="1">
      <alignment horizontal="center"/>
    </xf>
    <xf numFmtId="0" fontId="2" fillId="0" borderId="27" xfId="0" applyFont="1" applyBorder="1"/>
    <xf numFmtId="0" fontId="2" fillId="0" borderId="6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2" fillId="0" borderId="4" xfId="0" applyFont="1" applyBorder="1" applyAlignment="1">
      <alignment horizontal="left" indent="3"/>
    </xf>
    <xf numFmtId="0" fontId="2" fillId="0" borderId="0" xfId="0" applyFont="1" applyAlignment="1">
      <alignment horizontal="left" indent="3"/>
    </xf>
    <xf numFmtId="0" fontId="2" fillId="0" borderId="20" xfId="0" applyFont="1" applyBorder="1" applyAlignment="1">
      <alignment horizontal="left" indent="3"/>
    </xf>
    <xf numFmtId="0" fontId="2" fillId="0" borderId="3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2" fillId="0" borderId="4" xfId="0" applyFont="1" applyBorder="1" applyAlignment="1">
      <alignment horizontal="left" indent="6"/>
    </xf>
    <xf numFmtId="0" fontId="2" fillId="0" borderId="0" xfId="0" applyFont="1" applyAlignment="1">
      <alignment horizontal="left" indent="6"/>
    </xf>
    <xf numFmtId="0" fontId="2" fillId="0" borderId="20" xfId="0" applyFont="1" applyBorder="1" applyAlignment="1">
      <alignment horizontal="left" indent="6"/>
    </xf>
    <xf numFmtId="0" fontId="0" fillId="0" borderId="0" xfId="0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44" fontId="3" fillId="2" borderId="0" xfId="0" applyNumberFormat="1" applyFont="1" applyFill="1" applyAlignment="1">
      <alignment horizontal="center"/>
    </xf>
    <xf numFmtId="44" fontId="3" fillId="2" borderId="5" xfId="0" applyNumberFormat="1" applyFont="1" applyFill="1" applyBorder="1" applyAlignment="1">
      <alignment horizontal="center"/>
    </xf>
    <xf numFmtId="44" fontId="3" fillId="2" borderId="7" xfId="0" applyNumberFormat="1" applyFont="1" applyFill="1" applyBorder="1" applyAlignment="1">
      <alignment horizontal="center"/>
    </xf>
    <xf numFmtId="44" fontId="3" fillId="2" borderId="8" xfId="0" applyNumberFormat="1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2" fillId="0" borderId="4" xfId="0" applyFont="1" applyBorder="1" applyAlignment="1">
      <alignment horizontal="left" indent="5"/>
    </xf>
    <xf numFmtId="0" fontId="2" fillId="0" borderId="0" xfId="0" applyFont="1" applyAlignment="1">
      <alignment horizontal="left" indent="5"/>
    </xf>
    <xf numFmtId="0" fontId="2" fillId="0" borderId="66" xfId="0" applyFont="1" applyBorder="1"/>
    <xf numFmtId="0" fontId="7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2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/>
    <xf numFmtId="0" fontId="2" fillId="0" borderId="0" xfId="0" applyFont="1" applyBorder="1"/>
    <xf numFmtId="44" fontId="2" fillId="0" borderId="0" xfId="0" applyNumberFormat="1" applyFont="1" applyBorder="1"/>
    <xf numFmtId="44" fontId="2" fillId="3" borderId="0" xfId="1" applyFont="1" applyFill="1" applyBorder="1" applyProtection="1">
      <protection locked="0"/>
    </xf>
    <xf numFmtId="0" fontId="2" fillId="3" borderId="0" xfId="0" applyFont="1" applyFill="1" applyProtection="1">
      <protection locked="0"/>
    </xf>
    <xf numFmtId="44" fontId="2" fillId="3" borderId="28" xfId="1" applyFont="1" applyFill="1" applyBorder="1" applyProtection="1">
      <protection locked="0"/>
    </xf>
    <xf numFmtId="0" fontId="2" fillId="3" borderId="28" xfId="0" applyFont="1" applyFill="1" applyBorder="1" applyProtection="1">
      <protection locked="0"/>
    </xf>
    <xf numFmtId="0" fontId="2" fillId="3" borderId="29" xfId="0" applyFont="1" applyFill="1" applyBorder="1" applyProtection="1">
      <protection locked="0"/>
    </xf>
    <xf numFmtId="44" fontId="2" fillId="3" borderId="27" xfId="1" applyFont="1" applyFill="1" applyBorder="1" applyProtection="1">
      <protection locked="0"/>
    </xf>
    <xf numFmtId="0" fontId="2" fillId="3" borderId="27" xfId="0" applyFont="1" applyFill="1" applyBorder="1" applyProtection="1">
      <protection locked="0"/>
    </xf>
    <xf numFmtId="0" fontId="2" fillId="3" borderId="30" xfId="0" applyFont="1" applyFill="1" applyBorder="1" applyProtection="1">
      <protection locked="0"/>
    </xf>
    <xf numFmtId="0" fontId="2" fillId="3" borderId="41" xfId="0" applyFont="1" applyFill="1" applyBorder="1" applyProtection="1">
      <protection locked="0"/>
    </xf>
    <xf numFmtId="0" fontId="2" fillId="3" borderId="7" xfId="0" applyFont="1" applyFill="1" applyBorder="1" applyProtection="1">
      <protection locked="0"/>
    </xf>
    <xf numFmtId="0" fontId="0" fillId="3" borderId="7" xfId="0" applyFont="1" applyFill="1" applyBorder="1" applyAlignment="1" applyProtection="1">
      <alignment horizontal="center"/>
      <protection locked="0"/>
    </xf>
    <xf numFmtId="0" fontId="0" fillId="3" borderId="8" xfId="0" applyFont="1" applyFill="1" applyBorder="1" applyAlignment="1" applyProtection="1">
      <alignment horizontal="center"/>
      <protection locked="0"/>
    </xf>
    <xf numFmtId="0" fontId="0" fillId="3" borderId="10" xfId="0" applyFont="1" applyFill="1" applyBorder="1" applyAlignment="1" applyProtection="1">
      <alignment horizontal="center"/>
      <protection locked="0"/>
    </xf>
    <xf numFmtId="0" fontId="0" fillId="3" borderId="11" xfId="0" applyFont="1" applyFill="1" applyBorder="1" applyAlignment="1" applyProtection="1">
      <alignment horizontal="center"/>
      <protection locked="0"/>
    </xf>
    <xf numFmtId="0" fontId="0" fillId="3" borderId="32" xfId="0" applyFont="1" applyFill="1" applyBorder="1" applyAlignment="1" applyProtection="1">
      <alignment horizontal="left"/>
      <protection locked="0"/>
    </xf>
    <xf numFmtId="0" fontId="0" fillId="3" borderId="13" xfId="0" applyFont="1" applyFill="1" applyBorder="1" applyAlignment="1" applyProtection="1">
      <alignment horizontal="left"/>
      <protection locked="0"/>
    </xf>
    <xf numFmtId="0" fontId="2" fillId="3" borderId="17" xfId="0" applyFont="1" applyFill="1" applyBorder="1" applyProtection="1">
      <protection locked="0"/>
    </xf>
    <xf numFmtId="0" fontId="2" fillId="3" borderId="15" xfId="0" applyFont="1" applyFill="1" applyBorder="1" applyProtection="1">
      <protection locked="0"/>
    </xf>
    <xf numFmtId="0" fontId="0" fillId="3" borderId="34" xfId="0" applyFont="1" applyFill="1" applyBorder="1" applyAlignment="1" applyProtection="1">
      <alignment horizontal="left"/>
      <protection locked="0"/>
    </xf>
    <xf numFmtId="0" fontId="0" fillId="3" borderId="35" xfId="0" applyFont="1" applyFill="1" applyBorder="1" applyAlignment="1" applyProtection="1">
      <alignment horizontal="left"/>
      <protection locked="0"/>
    </xf>
    <xf numFmtId="0" fontId="0" fillId="3" borderId="65" xfId="0" applyFont="1" applyFill="1" applyBorder="1" applyAlignment="1" applyProtection="1">
      <alignment horizontal="left"/>
      <protection locked="0"/>
    </xf>
    <xf numFmtId="0" fontId="2" fillId="4" borderId="56" xfId="0" applyFont="1" applyFill="1" applyBorder="1" applyAlignment="1" applyProtection="1">
      <alignment horizontal="center"/>
      <protection locked="0"/>
    </xf>
    <xf numFmtId="44" fontId="2" fillId="4" borderId="59" xfId="1" applyFont="1" applyFill="1" applyBorder="1" applyProtection="1">
      <protection locked="0"/>
    </xf>
    <xf numFmtId="0" fontId="2" fillId="4" borderId="28" xfId="0" applyFont="1" applyFill="1" applyBorder="1" applyAlignment="1" applyProtection="1">
      <alignment horizontal="center"/>
      <protection locked="0"/>
    </xf>
    <xf numFmtId="0" fontId="2" fillId="4" borderId="29" xfId="0" applyFont="1" applyFill="1" applyBorder="1" applyAlignment="1" applyProtection="1">
      <alignment horizontal="center"/>
      <protection locked="0"/>
    </xf>
    <xf numFmtId="44" fontId="2" fillId="4" borderId="57" xfId="1" applyFont="1" applyFill="1" applyBorder="1" applyProtection="1">
      <protection locked="0"/>
    </xf>
    <xf numFmtId="0" fontId="2" fillId="4" borderId="0" xfId="0" applyFont="1" applyFill="1" applyAlignment="1" applyProtection="1">
      <alignment horizontal="center"/>
      <protection locked="0"/>
    </xf>
    <xf numFmtId="0" fontId="2" fillId="4" borderId="27" xfId="0" applyFont="1" applyFill="1" applyBorder="1" applyAlignment="1" applyProtection="1">
      <alignment horizontal="center"/>
      <protection locked="0"/>
    </xf>
    <xf numFmtId="44" fontId="2" fillId="4" borderId="60" xfId="1" applyFont="1" applyFill="1" applyBorder="1" applyProtection="1">
      <protection locked="0"/>
    </xf>
    <xf numFmtId="0" fontId="0" fillId="3" borderId="15" xfId="0" applyFont="1" applyFill="1" applyBorder="1" applyAlignment="1" applyProtection="1">
      <alignment horizontal="left"/>
      <protection locked="0"/>
    </xf>
    <xf numFmtId="0" fontId="0" fillId="3" borderId="21" xfId="0" applyFont="1" applyFill="1" applyBorder="1" applyAlignment="1" applyProtection="1">
      <alignment horizontal="left"/>
      <protection locked="0"/>
    </xf>
    <xf numFmtId="0" fontId="2" fillId="3" borderId="45" xfId="0" applyFont="1" applyFill="1" applyBorder="1" applyProtection="1">
      <protection locked="0"/>
    </xf>
    <xf numFmtId="0" fontId="2" fillId="3" borderId="46" xfId="0" applyFont="1" applyFill="1" applyBorder="1" applyProtection="1">
      <protection locked="0"/>
    </xf>
    <xf numFmtId="0" fontId="2" fillId="3" borderId="64" xfId="0" applyFont="1" applyFill="1" applyBorder="1" applyProtection="1">
      <protection locked="0"/>
    </xf>
    <xf numFmtId="0" fontId="2" fillId="3" borderId="56" xfId="0" applyFont="1" applyFill="1" applyBorder="1" applyAlignment="1" applyProtection="1">
      <alignment horizontal="center"/>
      <protection locked="0"/>
    </xf>
    <xf numFmtId="44" fontId="2" fillId="3" borderId="57" xfId="1" applyFont="1" applyFill="1" applyBorder="1" applyProtection="1">
      <protection locked="0"/>
    </xf>
    <xf numFmtId="0" fontId="2" fillId="3" borderId="45" xfId="0" applyFont="1" applyFill="1" applyBorder="1" applyAlignment="1" applyProtection="1">
      <alignment horizontal="center"/>
      <protection locked="0"/>
    </xf>
    <xf numFmtId="0" fontId="0" fillId="3" borderId="18" xfId="0" applyFont="1" applyFill="1" applyBorder="1" applyAlignment="1" applyProtection="1">
      <alignment horizontal="left"/>
      <protection locked="0"/>
    </xf>
    <xf numFmtId="0" fontId="0" fillId="3" borderId="44" xfId="0" applyFont="1" applyFill="1" applyBorder="1" applyAlignment="1" applyProtection="1">
      <alignment horizontal="left"/>
      <protection locked="0"/>
    </xf>
    <xf numFmtId="0" fontId="0" fillId="3" borderId="43" xfId="0" applyFont="1" applyFill="1" applyBorder="1" applyAlignment="1" applyProtection="1">
      <alignment horizontal="left"/>
      <protection locked="0"/>
    </xf>
    <xf numFmtId="0" fontId="0" fillId="3" borderId="42" xfId="0" applyFont="1" applyFill="1" applyBorder="1" applyAlignment="1" applyProtection="1">
      <alignment horizontal="left"/>
      <protection locked="0"/>
    </xf>
    <xf numFmtId="0" fontId="2" fillId="3" borderId="47" xfId="0" applyFont="1" applyFill="1" applyBorder="1" applyAlignment="1" applyProtection="1">
      <alignment horizontal="center"/>
      <protection locked="0"/>
    </xf>
    <xf numFmtId="0" fontId="2" fillId="3" borderId="48" xfId="0" applyFont="1" applyFill="1" applyBorder="1" applyProtection="1">
      <protection locked="0"/>
    </xf>
    <xf numFmtId="0" fontId="2" fillId="3" borderId="53" xfId="0" applyFont="1" applyFill="1" applyBorder="1" applyAlignment="1" applyProtection="1">
      <alignment horizontal="center"/>
      <protection locked="0"/>
    </xf>
    <xf numFmtId="0" fontId="2" fillId="3" borderId="54" xfId="0" applyFont="1" applyFill="1" applyBorder="1" applyAlignment="1" applyProtection="1">
      <alignment horizontal="center"/>
      <protection locked="0"/>
    </xf>
    <xf numFmtId="44" fontId="2" fillId="3" borderId="55" xfId="1" applyFont="1" applyFill="1" applyBorder="1" applyProtection="1">
      <protection locked="0"/>
    </xf>
    <xf numFmtId="0" fontId="2" fillId="4" borderId="2" xfId="0" applyFont="1" applyFill="1" applyBorder="1" applyProtection="1">
      <protection locked="0"/>
    </xf>
    <xf numFmtId="44" fontId="2" fillId="4" borderId="27" xfId="1" applyFont="1" applyFill="1" applyBorder="1" applyProtection="1">
      <protection locked="0"/>
    </xf>
    <xf numFmtId="0" fontId="2" fillId="4" borderId="30" xfId="0" applyFont="1" applyFill="1" applyBorder="1" applyProtection="1">
      <protection locked="0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211665</xdr:colOff>
      <xdr:row>34</xdr:row>
      <xdr:rowOff>95779</xdr:rowOff>
    </xdr:from>
    <xdr:to>
      <xdr:col>9</xdr:col>
      <xdr:colOff>356031</xdr:colOff>
      <xdr:row>35</xdr:row>
      <xdr:rowOff>148418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8D8271-FC77-86EC-E2E9-CCE5B47CC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665" y="6970712"/>
          <a:ext cx="5993248" cy="232558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seowoo.lee8@rutgers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6E9E4-AF34-4B5D-AD53-568B28C6C970}">
  <dimension ref="A1:J36"/>
  <sheetViews>
    <sheetView tabSelected="1" zoomScale="150" zoomScaleNormal="150" workbookViewId="0">
      <selection activeCell="L10" sqref="L10"/>
    </sheetView>
  </sheetViews>
  <sheetFormatPr defaultRowHeight="14.25" x14ac:dyDescent="0.45"/>
  <cols>
    <col min="1" max="1" width="12.59765625" customWidth="1"/>
    <col min="2" max="2" width="2.86328125" customWidth="1"/>
    <col min="8" max="8" width="12.19921875" customWidth="1"/>
  </cols>
  <sheetData>
    <row r="1" spans="1:8" x14ac:dyDescent="0.45">
      <c r="A1" s="95" t="e" vm="1">
        <v>#VALUE!</v>
      </c>
      <c r="B1" s="95"/>
      <c r="C1" s="95"/>
    </row>
    <row r="2" spans="1:8" x14ac:dyDescent="0.45">
      <c r="A2" s="95"/>
      <c r="B2" s="95"/>
      <c r="C2" s="95"/>
    </row>
    <row r="3" spans="1:8" x14ac:dyDescent="0.45">
      <c r="A3" s="95"/>
      <c r="B3" s="95"/>
      <c r="C3" s="95"/>
    </row>
    <row r="6" spans="1:8" x14ac:dyDescent="0.45">
      <c r="B6" s="121" t="s">
        <v>110</v>
      </c>
      <c r="C6" s="121"/>
      <c r="D6" s="121"/>
      <c r="E6" s="121"/>
      <c r="F6" s="121"/>
      <c r="G6" s="121"/>
      <c r="H6" s="121"/>
    </row>
    <row r="7" spans="1:8" x14ac:dyDescent="0.45">
      <c r="B7" s="121"/>
      <c r="C7" s="121"/>
      <c r="D7" s="121"/>
      <c r="E7" s="121"/>
      <c r="F7" s="121"/>
      <c r="G7" s="121"/>
      <c r="H7" s="121"/>
    </row>
    <row r="9" spans="1:8" x14ac:dyDescent="0.45">
      <c r="B9" s="95" t="s">
        <v>111</v>
      </c>
      <c r="C9" s="95"/>
      <c r="D9" s="95"/>
      <c r="E9" s="95"/>
      <c r="F9" s="95"/>
      <c r="G9" s="95"/>
      <c r="H9" s="95"/>
    </row>
    <row r="10" spans="1:8" x14ac:dyDescent="0.45">
      <c r="B10" s="122" t="s">
        <v>113</v>
      </c>
      <c r="C10" s="95"/>
      <c r="D10" s="95"/>
      <c r="E10" s="95"/>
      <c r="F10" s="95"/>
      <c r="G10" s="95"/>
      <c r="H10" s="95"/>
    </row>
    <row r="11" spans="1:8" x14ac:dyDescent="0.45">
      <c r="B11" s="95" t="s">
        <v>112</v>
      </c>
      <c r="C11" s="95"/>
      <c r="D11" s="95"/>
      <c r="E11" s="95"/>
      <c r="F11" s="95"/>
      <c r="G11" s="95"/>
      <c r="H11" s="95"/>
    </row>
    <row r="12" spans="1:8" x14ac:dyDescent="0.45">
      <c r="B12" s="95" t="s">
        <v>114</v>
      </c>
      <c r="C12" s="95"/>
      <c r="D12" s="95"/>
      <c r="E12" s="95"/>
      <c r="F12" s="95"/>
      <c r="G12" s="95"/>
      <c r="H12" s="95"/>
    </row>
    <row r="13" spans="1:8" x14ac:dyDescent="0.45">
      <c r="B13" s="95" t="s">
        <v>115</v>
      </c>
      <c r="C13" s="95"/>
      <c r="D13" s="95"/>
      <c r="E13" s="95"/>
      <c r="F13" s="95"/>
      <c r="G13" s="95"/>
      <c r="H13" s="95"/>
    </row>
    <row r="15" spans="1:8" ht="14.25" customHeight="1" x14ac:dyDescent="0.45">
      <c r="B15" s="123" t="s">
        <v>116</v>
      </c>
      <c r="C15" s="123"/>
      <c r="D15" s="123"/>
      <c r="E15" s="123"/>
      <c r="F15" s="123"/>
      <c r="G15" s="123"/>
      <c r="H15" s="123"/>
    </row>
    <row r="16" spans="1:8" x14ac:dyDescent="0.45">
      <c r="B16" s="123"/>
      <c r="C16" s="123"/>
      <c r="D16" s="123"/>
      <c r="E16" s="123"/>
      <c r="F16" s="123"/>
      <c r="G16" s="123"/>
      <c r="H16" s="123"/>
    </row>
    <row r="17" spans="2:8" x14ac:dyDescent="0.45">
      <c r="B17" s="123"/>
      <c r="C17" s="123"/>
      <c r="D17" s="123"/>
      <c r="E17" s="123"/>
      <c r="F17" s="123"/>
      <c r="G17" s="123"/>
      <c r="H17" s="123"/>
    </row>
    <row r="18" spans="2:8" x14ac:dyDescent="0.45">
      <c r="B18" s="123"/>
      <c r="C18" s="123"/>
      <c r="D18" s="123"/>
      <c r="E18" s="123"/>
      <c r="F18" s="123"/>
      <c r="G18" s="123"/>
      <c r="H18" s="123"/>
    </row>
    <row r="20" spans="2:8" x14ac:dyDescent="0.45">
      <c r="B20" s="125" t="s">
        <v>117</v>
      </c>
      <c r="C20" s="125"/>
      <c r="D20" s="125"/>
      <c r="E20" s="125"/>
      <c r="F20" s="125"/>
      <c r="G20" s="125"/>
      <c r="H20" s="125"/>
    </row>
    <row r="21" spans="2:8" ht="14.25" customHeight="1" x14ac:dyDescent="0.45">
      <c r="B21" s="129" t="s">
        <v>120</v>
      </c>
      <c r="C21" s="127" t="s">
        <v>121</v>
      </c>
      <c r="D21" s="127"/>
      <c r="E21" s="127"/>
      <c r="F21" s="127"/>
      <c r="G21" s="127"/>
      <c r="H21" s="127"/>
    </row>
    <row r="22" spans="2:8" x14ac:dyDescent="0.45">
      <c r="B22" s="124"/>
      <c r="C22" s="127"/>
      <c r="D22" s="127"/>
      <c r="E22" s="127"/>
      <c r="F22" s="127"/>
      <c r="G22" s="127"/>
      <c r="H22" s="127"/>
    </row>
    <row r="23" spans="2:8" ht="18" x14ac:dyDescent="0.45">
      <c r="B23" s="126" t="s">
        <v>120</v>
      </c>
      <c r="C23" s="128" t="s">
        <v>119</v>
      </c>
      <c r="D23" s="128"/>
      <c r="E23" s="128"/>
      <c r="F23" s="128"/>
      <c r="G23" s="128"/>
      <c r="H23" s="128"/>
    </row>
    <row r="24" spans="2:8" ht="18" customHeight="1" x14ac:dyDescent="0.45">
      <c r="B24" s="126" t="s">
        <v>120</v>
      </c>
      <c r="C24" s="127" t="s">
        <v>118</v>
      </c>
      <c r="D24" s="127"/>
      <c r="E24" s="127"/>
      <c r="F24" s="127"/>
      <c r="G24" s="127"/>
      <c r="H24" s="127"/>
    </row>
    <row r="25" spans="2:8" x14ac:dyDescent="0.45">
      <c r="B25" s="124"/>
      <c r="C25" s="127"/>
      <c r="D25" s="127"/>
      <c r="E25" s="127"/>
      <c r="F25" s="127"/>
      <c r="G25" s="127"/>
      <c r="H25" s="127"/>
    </row>
    <row r="26" spans="2:8" x14ac:dyDescent="0.45">
      <c r="C26" s="127"/>
      <c r="D26" s="127"/>
      <c r="E26" s="127"/>
      <c r="F26" s="127"/>
      <c r="G26" s="127"/>
      <c r="H26" s="127"/>
    </row>
    <row r="28" spans="2:8" x14ac:dyDescent="0.45">
      <c r="B28" s="125" t="s">
        <v>122</v>
      </c>
      <c r="C28" s="125"/>
      <c r="D28" s="125"/>
      <c r="E28" s="125"/>
      <c r="F28" s="125"/>
      <c r="G28" s="125"/>
      <c r="H28" s="125"/>
    </row>
    <row r="29" spans="2:8" ht="18" x14ac:dyDescent="0.45">
      <c r="B29" s="129" t="s">
        <v>120</v>
      </c>
      <c r="C29" s="127" t="s">
        <v>123</v>
      </c>
      <c r="D29" s="127"/>
      <c r="E29" s="127"/>
      <c r="F29" s="127"/>
      <c r="G29" s="127"/>
      <c r="H29" s="127"/>
    </row>
    <row r="30" spans="2:8" x14ac:dyDescent="0.45">
      <c r="C30" s="127"/>
      <c r="D30" s="127"/>
      <c r="E30" s="127"/>
      <c r="F30" s="127"/>
      <c r="G30" s="127"/>
      <c r="H30" s="127"/>
    </row>
    <row r="31" spans="2:8" ht="18" x14ac:dyDescent="0.45">
      <c r="B31" s="129" t="s">
        <v>120</v>
      </c>
      <c r="C31" s="128" t="s">
        <v>124</v>
      </c>
      <c r="D31" s="128"/>
      <c r="E31" s="128"/>
      <c r="F31" s="128"/>
      <c r="G31" s="128"/>
      <c r="H31" s="128"/>
    </row>
    <row r="32" spans="2:8" ht="18" x14ac:dyDescent="0.45">
      <c r="B32" s="129" t="s">
        <v>120</v>
      </c>
      <c r="C32" s="127" t="s">
        <v>125</v>
      </c>
      <c r="D32" s="127"/>
      <c r="E32" s="127"/>
      <c r="F32" s="127"/>
      <c r="G32" s="127"/>
      <c r="H32" s="127"/>
    </row>
    <row r="33" spans="1:10" x14ac:dyDescent="0.45">
      <c r="C33" s="127"/>
      <c r="D33" s="127"/>
      <c r="E33" s="127"/>
      <c r="F33" s="127"/>
      <c r="G33" s="127"/>
      <c r="H33" s="127"/>
    </row>
    <row r="35" spans="1:10" x14ac:dyDescent="0.45">
      <c r="A35" s="95"/>
      <c r="B35" s="95"/>
      <c r="C35" s="95"/>
      <c r="D35" s="95"/>
      <c r="E35" s="95"/>
      <c r="F35" s="95"/>
      <c r="G35" s="95"/>
      <c r="H35" s="95"/>
      <c r="I35" s="95"/>
      <c r="J35" s="95"/>
    </row>
    <row r="36" spans="1:10" x14ac:dyDescent="0.45">
      <c r="A36" s="95"/>
      <c r="B36" s="95"/>
      <c r="C36" s="95"/>
      <c r="D36" s="95"/>
      <c r="E36" s="95"/>
      <c r="F36" s="95"/>
      <c r="G36" s="95"/>
      <c r="H36" s="95"/>
      <c r="I36" s="95"/>
      <c r="J36" s="95"/>
    </row>
  </sheetData>
  <sheetProtection algorithmName="SHA-512" hashValue="X//WI5PrIA2cg2Hx10iyugurjT69JXPU+3MUAyKFaKGsAudtNoElT+UpktXpgGTj7WlHVPYru4avyDZQa6V9kQ==" saltValue="Hgabl1SEfaTVDFWD4zUhEQ==" spinCount="100000" sheet="1" objects="1" scenarios="1" selectLockedCells="1" selectUnlockedCells="1"/>
  <mergeCells count="17">
    <mergeCell ref="B28:H28"/>
    <mergeCell ref="C29:H30"/>
    <mergeCell ref="C31:H31"/>
    <mergeCell ref="A35:J36"/>
    <mergeCell ref="C32:H33"/>
    <mergeCell ref="C21:H22"/>
    <mergeCell ref="C23:H23"/>
    <mergeCell ref="C24:H26"/>
    <mergeCell ref="B12:H12"/>
    <mergeCell ref="B13:H13"/>
    <mergeCell ref="B15:H18"/>
    <mergeCell ref="B20:H20"/>
    <mergeCell ref="A1:C3"/>
    <mergeCell ref="B6:H7"/>
    <mergeCell ref="B9:H9"/>
    <mergeCell ref="B11:H11"/>
    <mergeCell ref="B10:H10"/>
  </mergeCells>
  <hyperlinks>
    <hyperlink ref="B10" r:id="rId1" xr:uid="{4559D761-217A-4D4A-AF86-F057E7678626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B570B-3E91-40DF-BB2D-B99C2F782153}">
  <dimension ref="B2:O45"/>
  <sheetViews>
    <sheetView zoomScale="110" zoomScaleNormal="110" workbookViewId="0">
      <selection activeCell="G7" sqref="G7"/>
    </sheetView>
  </sheetViews>
  <sheetFormatPr defaultColWidth="9.1328125" defaultRowHeight="18" x14ac:dyDescent="0.55000000000000004"/>
  <cols>
    <col min="1" max="1" width="2.86328125" style="1" customWidth="1"/>
    <col min="2" max="2" width="35.59765625" style="1" bestFit="1" customWidth="1"/>
    <col min="3" max="3" width="16" style="1" bestFit="1" customWidth="1"/>
    <col min="4" max="4" width="9.1328125" style="1"/>
    <col min="5" max="5" width="5.265625" style="1" customWidth="1"/>
    <col min="6" max="6" width="35.86328125" style="1" bestFit="1" customWidth="1"/>
    <col min="7" max="7" width="9.1328125" style="1"/>
    <col min="8" max="8" width="12.73046875" style="1" bestFit="1" customWidth="1"/>
    <col min="9" max="9" width="5.1328125" style="1" customWidth="1"/>
    <col min="10" max="10" width="4" style="1" customWidth="1"/>
    <col min="11" max="11" width="26.3984375" style="1" bestFit="1" customWidth="1"/>
    <col min="12" max="12" width="16.3984375" style="1" customWidth="1"/>
    <col min="13" max="13" width="13.1328125" style="1" bestFit="1" customWidth="1"/>
    <col min="14" max="14" width="12.265625" style="1" bestFit="1" customWidth="1"/>
    <col min="15" max="15" width="13.1328125" style="1" customWidth="1"/>
    <col min="16" max="16384" width="9.1328125" style="1"/>
  </cols>
  <sheetData>
    <row r="2" spans="2:15" ht="23.25" x14ac:dyDescent="0.7">
      <c r="B2" s="22" t="s">
        <v>52</v>
      </c>
      <c r="F2" s="22" t="s">
        <v>53</v>
      </c>
      <c r="J2" s="22" t="s">
        <v>56</v>
      </c>
    </row>
    <row r="3" spans="2:15" ht="10.5" customHeight="1" thickBot="1" x14ac:dyDescent="0.6"/>
    <row r="4" spans="2:15" ht="21.4" thickBot="1" x14ac:dyDescent="0.7">
      <c r="B4" s="82" t="s">
        <v>11</v>
      </c>
      <c r="C4" s="83"/>
      <c r="D4" s="84"/>
      <c r="F4" s="28" t="s">
        <v>46</v>
      </c>
      <c r="G4" s="149" t="s">
        <v>103</v>
      </c>
      <c r="H4" s="150"/>
      <c r="J4" s="42"/>
      <c r="K4" s="41"/>
      <c r="L4" s="43"/>
      <c r="M4" s="41" t="s">
        <v>63</v>
      </c>
      <c r="N4" s="88" t="s">
        <v>8</v>
      </c>
      <c r="O4" s="89"/>
    </row>
    <row r="5" spans="2:15" ht="21" x14ac:dyDescent="0.65">
      <c r="B5" s="14" t="s">
        <v>9</v>
      </c>
      <c r="C5" s="136">
        <v>1</v>
      </c>
      <c r="D5" s="3"/>
      <c r="F5" s="25" t="s">
        <v>0</v>
      </c>
      <c r="G5" s="136">
        <v>100</v>
      </c>
      <c r="H5" s="3" t="s">
        <v>1</v>
      </c>
      <c r="J5" s="90" t="s">
        <v>59</v>
      </c>
      <c r="K5" s="91"/>
      <c r="L5" s="19"/>
      <c r="O5" s="3"/>
    </row>
    <row r="6" spans="2:15" x14ac:dyDescent="0.55000000000000004">
      <c r="B6" s="15" t="s">
        <v>8</v>
      </c>
      <c r="C6" s="137">
        <v>20000</v>
      </c>
      <c r="D6" s="3"/>
      <c r="F6" s="15" t="s">
        <v>2</v>
      </c>
      <c r="G6" s="151">
        <v>16</v>
      </c>
      <c r="H6" s="3" t="s">
        <v>3</v>
      </c>
      <c r="J6" s="85" t="s">
        <v>64</v>
      </c>
      <c r="K6" s="86"/>
      <c r="L6" s="87"/>
      <c r="M6" s="156"/>
      <c r="N6" s="157">
        <v>175</v>
      </c>
      <c r="O6" s="73" t="s">
        <v>66</v>
      </c>
    </row>
    <row r="7" spans="2:15" x14ac:dyDescent="0.55000000000000004">
      <c r="B7" s="15" t="s">
        <v>54</v>
      </c>
      <c r="C7" s="138">
        <v>10</v>
      </c>
      <c r="D7" s="3" t="s">
        <v>55</v>
      </c>
      <c r="F7" s="26" t="s">
        <v>4</v>
      </c>
      <c r="G7" s="152">
        <v>4</v>
      </c>
      <c r="H7" s="10" t="s">
        <v>6</v>
      </c>
      <c r="J7" s="92" t="s">
        <v>70</v>
      </c>
      <c r="K7" s="93"/>
      <c r="L7" s="94"/>
      <c r="M7" s="158"/>
      <c r="N7" s="157">
        <v>30</v>
      </c>
      <c r="O7" s="73"/>
    </row>
    <row r="8" spans="2:15" x14ac:dyDescent="0.55000000000000004">
      <c r="B8" s="15" t="s">
        <v>97</v>
      </c>
      <c r="C8" s="136">
        <v>75</v>
      </c>
      <c r="D8" s="3" t="s">
        <v>99</v>
      </c>
      <c r="F8" s="23"/>
      <c r="G8" s="24"/>
      <c r="H8" s="117"/>
      <c r="J8" s="85" t="s">
        <v>61</v>
      </c>
      <c r="K8" s="86"/>
      <c r="L8" s="87"/>
      <c r="M8" s="159">
        <v>3</v>
      </c>
      <c r="N8" s="160">
        <v>5</v>
      </c>
      <c r="O8" s="74" t="s">
        <v>65</v>
      </c>
    </row>
    <row r="9" spans="2:15" ht="21" x14ac:dyDescent="0.65">
      <c r="B9" s="15" t="s">
        <v>23</v>
      </c>
      <c r="C9" s="138">
        <v>7</v>
      </c>
      <c r="D9" s="3" t="s">
        <v>17</v>
      </c>
      <c r="F9" s="29" t="s">
        <v>45</v>
      </c>
      <c r="G9" s="153" t="s">
        <v>103</v>
      </c>
      <c r="H9" s="154"/>
      <c r="J9" s="85" t="s">
        <v>62</v>
      </c>
      <c r="K9" s="86"/>
      <c r="L9" s="87"/>
      <c r="M9" s="161">
        <v>1</v>
      </c>
      <c r="N9" s="160">
        <v>0</v>
      </c>
      <c r="O9" s="74"/>
    </row>
    <row r="10" spans="2:15" x14ac:dyDescent="0.55000000000000004">
      <c r="B10" s="15" t="s">
        <v>12</v>
      </c>
      <c r="C10" s="136">
        <v>30</v>
      </c>
      <c r="D10" s="3" t="s">
        <v>18</v>
      </c>
      <c r="F10" s="25" t="s">
        <v>0</v>
      </c>
      <c r="G10" s="136"/>
      <c r="H10" s="3" t="s">
        <v>1</v>
      </c>
      <c r="J10" s="85" t="s">
        <v>67</v>
      </c>
      <c r="K10" s="86"/>
      <c r="L10" s="87"/>
      <c r="M10" s="158">
        <v>2</v>
      </c>
      <c r="N10" s="160">
        <v>0</v>
      </c>
      <c r="O10" s="3"/>
    </row>
    <row r="11" spans="2:15" x14ac:dyDescent="0.55000000000000004">
      <c r="B11" s="118" t="s">
        <v>105</v>
      </c>
      <c r="C11" s="119"/>
      <c r="D11" s="120"/>
      <c r="F11" s="15" t="s">
        <v>2</v>
      </c>
      <c r="G11" s="151"/>
      <c r="H11" s="3" t="s">
        <v>3</v>
      </c>
      <c r="J11" s="85" t="s">
        <v>92</v>
      </c>
      <c r="K11" s="86"/>
      <c r="L11" s="38"/>
      <c r="M11" s="162">
        <v>2</v>
      </c>
      <c r="N11" s="163">
        <v>150</v>
      </c>
      <c r="O11" s="75" t="s">
        <v>93</v>
      </c>
    </row>
    <row r="12" spans="2:15" x14ac:dyDescent="0.55000000000000004">
      <c r="B12" s="15" t="s">
        <v>13</v>
      </c>
      <c r="C12" s="139"/>
      <c r="D12" s="3" t="s">
        <v>19</v>
      </c>
      <c r="F12" s="27" t="s">
        <v>4</v>
      </c>
      <c r="G12" s="152"/>
      <c r="H12" s="10" t="s">
        <v>6</v>
      </c>
      <c r="J12" s="47"/>
      <c r="K12" s="164" t="s">
        <v>101</v>
      </c>
      <c r="L12" s="165"/>
      <c r="M12" s="166"/>
      <c r="N12" s="167"/>
      <c r="O12" s="168"/>
    </row>
    <row r="13" spans="2:15" ht="21" x14ac:dyDescent="0.65">
      <c r="B13" s="15" t="s">
        <v>14</v>
      </c>
      <c r="C13" s="136"/>
      <c r="D13" s="3" t="s">
        <v>20</v>
      </c>
      <c r="F13" s="23"/>
      <c r="G13" s="24"/>
      <c r="H13" s="3"/>
      <c r="J13" s="37" t="s">
        <v>50</v>
      </c>
      <c r="L13" s="19"/>
      <c r="O13" s="3"/>
    </row>
    <row r="14" spans="2:15" ht="21" x14ac:dyDescent="0.65">
      <c r="B14" s="15" t="s">
        <v>15</v>
      </c>
      <c r="C14" s="138"/>
      <c r="D14" s="3" t="s">
        <v>21</v>
      </c>
      <c r="F14" s="30" t="s">
        <v>44</v>
      </c>
      <c r="G14" s="155" t="s">
        <v>103</v>
      </c>
      <c r="H14" s="154"/>
      <c r="J14" s="85" t="s">
        <v>68</v>
      </c>
      <c r="K14" s="86"/>
      <c r="L14" s="87"/>
      <c r="M14" s="169">
        <v>1</v>
      </c>
      <c r="N14" s="170">
        <v>750</v>
      </c>
      <c r="O14" s="76" t="s">
        <v>40</v>
      </c>
    </row>
    <row r="15" spans="2:15" ht="18.399999999999999" thickBot="1" x14ac:dyDescent="0.6">
      <c r="B15" s="15" t="s">
        <v>12</v>
      </c>
      <c r="C15" s="80">
        <f>C12*C13/8.25</f>
        <v>0</v>
      </c>
      <c r="D15" s="3" t="s">
        <v>18</v>
      </c>
      <c r="F15" s="25" t="s">
        <v>0</v>
      </c>
      <c r="G15" s="136"/>
      <c r="H15" s="3" t="s">
        <v>1</v>
      </c>
      <c r="J15" s="46"/>
      <c r="K15" s="172" t="s">
        <v>100</v>
      </c>
      <c r="L15" s="173"/>
      <c r="M15" s="171">
        <v>1</v>
      </c>
      <c r="N15" s="167"/>
      <c r="O15" s="77" t="s">
        <v>40</v>
      </c>
    </row>
    <row r="16" spans="2:15" ht="21.4" thickBot="1" x14ac:dyDescent="0.7">
      <c r="B16" s="82" t="s">
        <v>16</v>
      </c>
      <c r="C16" s="83"/>
      <c r="D16" s="84"/>
      <c r="F16" s="15" t="s">
        <v>2</v>
      </c>
      <c r="G16" s="151"/>
      <c r="H16" s="3" t="s">
        <v>3</v>
      </c>
      <c r="J16" s="37" t="s">
        <v>69</v>
      </c>
      <c r="L16" s="19"/>
      <c r="M16" s="79"/>
      <c r="O16" s="3"/>
    </row>
    <row r="17" spans="2:15" x14ac:dyDescent="0.55000000000000004">
      <c r="B17" s="14" t="s">
        <v>9</v>
      </c>
      <c r="C17" s="136">
        <v>4</v>
      </c>
      <c r="D17" s="3"/>
      <c r="F17" s="27" t="s">
        <v>4</v>
      </c>
      <c r="G17" s="152"/>
      <c r="H17" s="10" t="s">
        <v>6</v>
      </c>
      <c r="J17" s="85" t="s">
        <v>71</v>
      </c>
      <c r="K17" s="86"/>
      <c r="L17" s="87"/>
      <c r="M17" s="178">
        <v>1</v>
      </c>
      <c r="N17" s="170">
        <v>100</v>
      </c>
      <c r="O17" s="76" t="s">
        <v>40</v>
      </c>
    </row>
    <row r="18" spans="2:15" x14ac:dyDescent="0.55000000000000004">
      <c r="B18" s="15" t="s">
        <v>8</v>
      </c>
      <c r="C18" s="140">
        <v>2500</v>
      </c>
      <c r="D18" s="3"/>
      <c r="F18" s="2"/>
      <c r="H18" s="3"/>
      <c r="J18" s="85" t="s">
        <v>72</v>
      </c>
      <c r="K18" s="86"/>
      <c r="L18" s="87"/>
      <c r="M18" s="179">
        <v>1</v>
      </c>
      <c r="N18" s="180">
        <v>350</v>
      </c>
      <c r="O18" s="76" t="s">
        <v>40</v>
      </c>
    </row>
    <row r="19" spans="2:15" ht="21.4" thickBot="1" x14ac:dyDescent="0.7">
      <c r="B19" s="15" t="s">
        <v>106</v>
      </c>
      <c r="C19" s="138">
        <v>52.22</v>
      </c>
      <c r="D19" s="3" t="s">
        <v>24</v>
      </c>
      <c r="F19" s="31" t="s">
        <v>43</v>
      </c>
      <c r="G19" s="153" t="s">
        <v>103</v>
      </c>
      <c r="H19" s="154"/>
      <c r="J19" s="45"/>
      <c r="K19" s="174" t="s">
        <v>129</v>
      </c>
      <c r="L19" s="175"/>
      <c r="M19" s="176"/>
      <c r="N19" s="177"/>
      <c r="O19" s="78" t="s">
        <v>40</v>
      </c>
    </row>
    <row r="20" spans="2:15" x14ac:dyDescent="0.55000000000000004">
      <c r="B20" s="15" t="s">
        <v>107</v>
      </c>
      <c r="C20" s="141">
        <v>15500</v>
      </c>
      <c r="D20" s="3" t="s">
        <v>25</v>
      </c>
      <c r="F20" s="52" t="s">
        <v>0</v>
      </c>
      <c r="G20" s="136"/>
      <c r="H20" s="3" t="s">
        <v>1</v>
      </c>
    </row>
    <row r="21" spans="2:15" ht="18.399999999999999" thickBot="1" x14ac:dyDescent="0.6">
      <c r="B21" s="21" t="s">
        <v>54</v>
      </c>
      <c r="C21" s="142">
        <v>5</v>
      </c>
      <c r="D21" s="4" t="s">
        <v>55</v>
      </c>
      <c r="F21" s="15" t="s">
        <v>2</v>
      </c>
      <c r="G21" s="151"/>
      <c r="H21" s="3" t="s">
        <v>3</v>
      </c>
    </row>
    <row r="22" spans="2:15" ht="23.65" thickBot="1" x14ac:dyDescent="0.75">
      <c r="B22" s="82" t="s">
        <v>22</v>
      </c>
      <c r="C22" s="83"/>
      <c r="D22" s="84"/>
      <c r="F22" s="27" t="s">
        <v>4</v>
      </c>
      <c r="G22" s="152"/>
      <c r="H22" s="10" t="s">
        <v>6</v>
      </c>
      <c r="J22" s="22" t="s">
        <v>60</v>
      </c>
    </row>
    <row r="23" spans="2:15" x14ac:dyDescent="0.55000000000000004">
      <c r="B23" s="14" t="s">
        <v>9</v>
      </c>
      <c r="C23" s="136">
        <v>1</v>
      </c>
      <c r="D23" s="3"/>
      <c r="F23" s="2"/>
      <c r="H23" s="3"/>
      <c r="J23" s="44"/>
      <c r="K23" s="39" t="s">
        <v>29</v>
      </c>
      <c r="L23" s="181">
        <v>7</v>
      </c>
      <c r="M23" s="6" t="s">
        <v>30</v>
      </c>
    </row>
    <row r="24" spans="2:15" ht="21" x14ac:dyDescent="0.65">
      <c r="B24" s="15" t="s">
        <v>8</v>
      </c>
      <c r="C24" s="140">
        <v>7500</v>
      </c>
      <c r="D24" s="3"/>
      <c r="F24" s="32" t="s">
        <v>42</v>
      </c>
      <c r="G24" s="155" t="s">
        <v>103</v>
      </c>
      <c r="H24" s="154"/>
      <c r="J24" s="2"/>
      <c r="K24" s="19" t="s">
        <v>35</v>
      </c>
      <c r="L24" s="182">
        <v>20</v>
      </c>
      <c r="M24" s="3" t="s">
        <v>73</v>
      </c>
    </row>
    <row r="25" spans="2:15" x14ac:dyDescent="0.55000000000000004">
      <c r="B25" s="15" t="s">
        <v>108</v>
      </c>
      <c r="C25" s="141">
        <v>15</v>
      </c>
      <c r="D25" s="3" t="s">
        <v>17</v>
      </c>
      <c r="F25" s="25" t="s">
        <v>0</v>
      </c>
      <c r="G25" s="136"/>
      <c r="H25" s="3" t="s">
        <v>1</v>
      </c>
      <c r="J25" s="2"/>
      <c r="K25" s="19" t="s">
        <v>126</v>
      </c>
      <c r="L25" s="182">
        <v>5.0999999999999996</v>
      </c>
      <c r="M25" s="3" t="s">
        <v>127</v>
      </c>
    </row>
    <row r="26" spans="2:15" x14ac:dyDescent="0.55000000000000004">
      <c r="B26" s="15" t="s">
        <v>109</v>
      </c>
      <c r="C26" s="141">
        <v>0.6</v>
      </c>
      <c r="D26" s="3" t="s">
        <v>104</v>
      </c>
      <c r="F26" s="15" t="s">
        <v>2</v>
      </c>
      <c r="G26" s="151"/>
      <c r="H26" s="3" t="s">
        <v>3</v>
      </c>
      <c r="J26" s="2"/>
      <c r="K26" s="19" t="s">
        <v>32</v>
      </c>
      <c r="L26" s="182">
        <v>1</v>
      </c>
      <c r="M26" s="3" t="s">
        <v>51</v>
      </c>
    </row>
    <row r="27" spans="2:15" ht="18.399999999999999" thickBot="1" x14ac:dyDescent="0.6">
      <c r="B27" s="21" t="s">
        <v>54</v>
      </c>
      <c r="C27" s="142">
        <v>10</v>
      </c>
      <c r="D27" s="4" t="s">
        <v>55</v>
      </c>
      <c r="F27" s="16" t="s">
        <v>4</v>
      </c>
      <c r="G27" s="13"/>
      <c r="H27" s="4" t="s">
        <v>6</v>
      </c>
      <c r="J27" s="21"/>
      <c r="K27" s="20" t="s">
        <v>36</v>
      </c>
      <c r="L27" s="183">
        <v>10</v>
      </c>
      <c r="M27" s="4" t="s">
        <v>17</v>
      </c>
    </row>
    <row r="28" spans="2:15" ht="21.4" thickBot="1" x14ac:dyDescent="0.7">
      <c r="B28" s="82" t="s">
        <v>95</v>
      </c>
      <c r="C28" s="83"/>
      <c r="D28" s="84"/>
      <c r="J28" s="131" t="s">
        <v>130</v>
      </c>
      <c r="K28" s="132" t="s">
        <v>128</v>
      </c>
      <c r="L28" s="130"/>
      <c r="M28" s="130"/>
      <c r="N28" s="130"/>
      <c r="O28" s="130"/>
    </row>
    <row r="29" spans="2:15" x14ac:dyDescent="0.55000000000000004">
      <c r="B29" s="14" t="s">
        <v>9</v>
      </c>
      <c r="C29" s="143">
        <v>1</v>
      </c>
      <c r="D29" s="6"/>
    </row>
    <row r="30" spans="2:15" x14ac:dyDescent="0.55000000000000004">
      <c r="B30" s="15" t="s">
        <v>8</v>
      </c>
      <c r="C30" s="137">
        <v>50000</v>
      </c>
      <c r="D30" s="3"/>
    </row>
    <row r="31" spans="2:15" x14ac:dyDescent="0.55000000000000004">
      <c r="B31" s="15" t="s">
        <v>54</v>
      </c>
      <c r="C31" s="138">
        <v>10</v>
      </c>
      <c r="D31" s="3" t="s">
        <v>55</v>
      </c>
    </row>
    <row r="32" spans="2:15" ht="18.399999999999999" thickBot="1" x14ac:dyDescent="0.6">
      <c r="B32" s="16" t="s">
        <v>94</v>
      </c>
      <c r="C32" s="144">
        <v>10</v>
      </c>
      <c r="D32" s="4" t="s">
        <v>30</v>
      </c>
    </row>
    <row r="33" spans="2:4" ht="21.4" thickBot="1" x14ac:dyDescent="0.7">
      <c r="B33" s="82" t="s">
        <v>96</v>
      </c>
      <c r="C33" s="83"/>
      <c r="D33" s="84"/>
    </row>
    <row r="34" spans="2:4" x14ac:dyDescent="0.55000000000000004">
      <c r="B34" s="14" t="s">
        <v>9</v>
      </c>
      <c r="C34" s="143">
        <v>1</v>
      </c>
      <c r="D34" s="6"/>
    </row>
    <row r="35" spans="2:4" x14ac:dyDescent="0.55000000000000004">
      <c r="B35" s="15" t="s">
        <v>8</v>
      </c>
      <c r="C35" s="137">
        <v>5000</v>
      </c>
      <c r="D35" s="3"/>
    </row>
    <row r="36" spans="2:4" x14ac:dyDescent="0.55000000000000004">
      <c r="B36" s="15" t="s">
        <v>54</v>
      </c>
      <c r="C36" s="138">
        <v>10</v>
      </c>
      <c r="D36" s="3" t="s">
        <v>55</v>
      </c>
    </row>
    <row r="37" spans="2:4" ht="18.399999999999999" thickBot="1" x14ac:dyDescent="0.6">
      <c r="B37" s="16" t="s">
        <v>94</v>
      </c>
      <c r="C37" s="144">
        <v>50</v>
      </c>
      <c r="D37" s="4" t="s">
        <v>30</v>
      </c>
    </row>
    <row r="38" spans="2:4" ht="18.399999999999999" thickBot="1" x14ac:dyDescent="0.6">
      <c r="B38" s="81" t="s">
        <v>58</v>
      </c>
      <c r="C38" s="145" t="s">
        <v>102</v>
      </c>
      <c r="D38" s="146"/>
    </row>
    <row r="39" spans="2:4" x14ac:dyDescent="0.55000000000000004">
      <c r="B39" s="14" t="s">
        <v>9</v>
      </c>
      <c r="C39" s="143"/>
      <c r="D39" s="3"/>
    </row>
    <row r="40" spans="2:4" x14ac:dyDescent="0.55000000000000004">
      <c r="B40" s="15" t="s">
        <v>8</v>
      </c>
      <c r="C40" s="137"/>
      <c r="D40" s="3"/>
    </row>
    <row r="41" spans="2:4" ht="18.399999999999999" thickBot="1" x14ac:dyDescent="0.6">
      <c r="B41" s="16" t="s">
        <v>54</v>
      </c>
      <c r="C41" s="144"/>
      <c r="D41" s="4" t="s">
        <v>55</v>
      </c>
    </row>
    <row r="42" spans="2:4" ht="18.399999999999999" thickBot="1" x14ac:dyDescent="0.6">
      <c r="B42" s="35" t="s">
        <v>58</v>
      </c>
      <c r="C42" s="147" t="s">
        <v>102</v>
      </c>
      <c r="D42" s="148"/>
    </row>
    <row r="43" spans="2:4" x14ac:dyDescent="0.55000000000000004">
      <c r="B43" s="14" t="s">
        <v>9</v>
      </c>
      <c r="C43" s="143"/>
      <c r="D43" s="3"/>
    </row>
    <row r="44" spans="2:4" x14ac:dyDescent="0.55000000000000004">
      <c r="B44" s="15" t="s">
        <v>8</v>
      </c>
      <c r="C44" s="137"/>
      <c r="D44" s="3"/>
    </row>
    <row r="45" spans="2:4" ht="18.399999999999999" thickBot="1" x14ac:dyDescent="0.6">
      <c r="B45" s="16" t="s">
        <v>54</v>
      </c>
      <c r="C45" s="144"/>
      <c r="D45" s="4" t="s">
        <v>55</v>
      </c>
    </row>
  </sheetData>
  <sheetProtection algorithmName="SHA-512" hashValue="gy+bghCLU4ccq7fKO4HiufZBiXQa/QeSse7Y4JwfKHaVbD5hG5D/gmKgzLEr2d1FQBL0n6Hs6exYQRsYanziJg==" saltValue="ldFTCZEbYqIqBa9rQ5ndUg==" spinCount="100000" sheet="1" objects="1" scenarios="1" selectLockedCells="1"/>
  <mergeCells count="27">
    <mergeCell ref="G24:H24"/>
    <mergeCell ref="G4:H4"/>
    <mergeCell ref="G9:H9"/>
    <mergeCell ref="G14:H14"/>
    <mergeCell ref="G19:H19"/>
    <mergeCell ref="K19:L19"/>
    <mergeCell ref="J9:L9"/>
    <mergeCell ref="J10:L10"/>
    <mergeCell ref="N4:O4"/>
    <mergeCell ref="J14:L14"/>
    <mergeCell ref="J5:K5"/>
    <mergeCell ref="J6:L6"/>
    <mergeCell ref="J7:L7"/>
    <mergeCell ref="J8:L8"/>
    <mergeCell ref="J11:K11"/>
    <mergeCell ref="J17:L17"/>
    <mergeCell ref="J18:L18"/>
    <mergeCell ref="K12:L12"/>
    <mergeCell ref="K15:L15"/>
    <mergeCell ref="B33:D33"/>
    <mergeCell ref="C38:D38"/>
    <mergeCell ref="C42:D42"/>
    <mergeCell ref="B4:D4"/>
    <mergeCell ref="B11:D11"/>
    <mergeCell ref="B16:D16"/>
    <mergeCell ref="B22:D22"/>
    <mergeCell ref="B28:D2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6BD7B-CA6D-43F6-8C2F-CB83A7A4C01C}">
  <dimension ref="B3:J52"/>
  <sheetViews>
    <sheetView workbookViewId="0">
      <selection activeCell="I19" sqref="I19"/>
    </sheetView>
  </sheetViews>
  <sheetFormatPr defaultColWidth="9.1328125" defaultRowHeight="18" x14ac:dyDescent="0.55000000000000004"/>
  <cols>
    <col min="1" max="1" width="9.1328125" style="1"/>
    <col min="2" max="2" width="26.3984375" style="1" bestFit="1" customWidth="1"/>
    <col min="3" max="3" width="16" style="1" bestFit="1" customWidth="1"/>
    <col min="4" max="4" width="22.73046875" style="1" customWidth="1"/>
    <col min="5" max="5" width="18.1328125" style="1" bestFit="1" customWidth="1"/>
    <col min="6" max="6" width="9.1328125" style="1"/>
    <col min="7" max="7" width="16.59765625" style="1" customWidth="1"/>
    <col min="8" max="8" width="12.59765625" style="1" customWidth="1"/>
    <col min="9" max="9" width="17.265625" style="1" customWidth="1"/>
    <col min="10" max="10" width="10.265625" style="1" bestFit="1" customWidth="1"/>
    <col min="11" max="16384" width="9.1328125" style="1"/>
  </cols>
  <sheetData>
    <row r="3" spans="2:10" ht="23.65" thickBot="1" x14ac:dyDescent="0.75">
      <c r="B3" s="22" t="s">
        <v>74</v>
      </c>
      <c r="G3" s="22" t="s">
        <v>79</v>
      </c>
    </row>
    <row r="4" spans="2:10" ht="18.399999999999999" thickBot="1" x14ac:dyDescent="0.6">
      <c r="B4" s="98" t="s">
        <v>28</v>
      </c>
      <c r="C4" s="99"/>
      <c r="D4" s="33" t="s">
        <v>31</v>
      </c>
      <c r="G4" s="44" t="s">
        <v>98</v>
      </c>
      <c r="H4" s="36"/>
      <c r="I4" s="56" cm="1">
        <f t="array" ref="I4">ROUND(SUM(IFERROR(D5:D10,0)),0)</f>
        <v>7117</v>
      </c>
      <c r="J4" s="6" t="s">
        <v>40</v>
      </c>
    </row>
    <row r="5" spans="2:10" x14ac:dyDescent="0.55000000000000004">
      <c r="B5" s="2" t="s">
        <v>7</v>
      </c>
      <c r="C5" s="17">
        <f>'1. Inputs'!C5*'1. Inputs'!C6</f>
        <v>20000</v>
      </c>
      <c r="D5" s="7">
        <f>IFERROR(C5*('1. Inputs'!L23/100*(1+'1. Inputs'!L23/100)^'1. Inputs'!C7)/((1+'1. Inputs'!L23/100)^'1. Inputs'!C7-1),"Missing Inputs")</f>
        <v>2847.5500545472942</v>
      </c>
      <c r="G5" s="2" t="s">
        <v>131</v>
      </c>
      <c r="H5" s="133"/>
      <c r="I5" s="134">
        <f>('1. Inputs'!C19*'1. Inputs'!C20/1000000)*(('2. Decision Helper'!D21+'2. Decision Helper'!D28+'2. Decision Helper'!D35+'2. Decision Helper'!D42+'2. Decision Helper'!D49)*60/'1. Inputs'!C9)*'1. Inputs'!C26*'1. Inputs'!L25</f>
        <v>70.057904399999998</v>
      </c>
      <c r="J5" s="3" t="s">
        <v>40</v>
      </c>
    </row>
    <row r="6" spans="2:10" x14ac:dyDescent="0.55000000000000004">
      <c r="B6" s="2" t="s">
        <v>26</v>
      </c>
      <c r="C6" s="17">
        <f>'1. Inputs'!C17*'1. Inputs'!C18</f>
        <v>10000</v>
      </c>
      <c r="D6" s="49">
        <f>IFERROR(C6*('1. Inputs'!L23/100*(1+'1. Inputs'!L23/100)^'1. Inputs'!C21)/((1+'1. Inputs'!L23/100)^'1. Inputs'!C21-1),"Missing Inputs")</f>
        <v>2438.9069444137399</v>
      </c>
      <c r="G6" s="2" t="s">
        <v>88</v>
      </c>
      <c r="I6" s="57">
        <f>E17</f>
        <v>264</v>
      </c>
      <c r="J6" s="3" t="s">
        <v>40</v>
      </c>
    </row>
    <row r="7" spans="2:10" x14ac:dyDescent="0.55000000000000004">
      <c r="B7" s="2" t="s">
        <v>10</v>
      </c>
      <c r="C7" s="17">
        <f>'1. Inputs'!C23*'1. Inputs'!C24</f>
        <v>7500</v>
      </c>
      <c r="D7" s="7">
        <f>IFERROR(C7*('1. Inputs'!L23/100*(1+'1. Inputs'!L23/100)^'1. Inputs'!C27)/((1+'1. Inputs'!L23/100)^'1. Inputs'!C27-1),"Missing Inputs")</f>
        <v>1067.8312704552352</v>
      </c>
      <c r="G7" s="2" t="s">
        <v>87</v>
      </c>
      <c r="I7" s="57">
        <f>('1. Inputs'!L26*('2. Decision Helper'!D19+'2. Decision Helper'!D26+'2. Decision Helper'!D33+'2. Decision Helper'!D40+'2. Decision Helper'!D47))*'1. Inputs'!L26</f>
        <v>400</v>
      </c>
      <c r="J7" s="3" t="s">
        <v>40</v>
      </c>
    </row>
    <row r="8" spans="2:10" x14ac:dyDescent="0.55000000000000004">
      <c r="B8" s="2" t="s">
        <v>75</v>
      </c>
      <c r="C8" s="48">
        <f>'1. Inputs'!C34*'1. Inputs'!C35</f>
        <v>5000</v>
      </c>
      <c r="D8" s="7">
        <f>IFERROR(C8*('1. Inputs'!L23/100*(1+'1. Inputs'!L23/100)^'1. Inputs'!C36)/((1+'1. Inputs'!L23/100)^'1. Inputs'!C36-1),"Missing Inputs")</f>
        <v>711.88751363682354</v>
      </c>
      <c r="G8" s="2" t="s">
        <v>89</v>
      </c>
      <c r="I8" s="57">
        <f>C11</f>
        <v>750</v>
      </c>
      <c r="J8" s="3" t="s">
        <v>40</v>
      </c>
    </row>
    <row r="9" spans="2:10" ht="18.399999999999999" thickBot="1" x14ac:dyDescent="0.6">
      <c r="B9" s="2" t="s">
        <v>57</v>
      </c>
      <c r="C9" s="48">
        <f>'1. Inputs'!C39*'1. Inputs'!C40+'1. Inputs'!C43*'1. Inputs'!C44</f>
        <v>0</v>
      </c>
      <c r="D9" s="7" t="str">
        <f>IFERROR(('1. Inputs'!C40*'1. Inputs'!C39)*('1. Inputs'!L23/100*(1+'1. Inputs'!L23/100)^'1. Inputs'!C41)/((1+'1. Inputs'!L23/100)^'1. Inputs'!C41-1)+('1. Inputs'!C44*'1. Inputs'!C43)*('1. Inputs'!L23/100*(1+'1. Inputs'!L23/100)^'1. Inputs'!C45)/((1+'1. Inputs'!L23/100)^'1. Inputs'!C45-1),"Missing Inputs")</f>
        <v>Missing Inputs</v>
      </c>
      <c r="G9" s="2" t="s">
        <v>69</v>
      </c>
      <c r="I9" s="57">
        <f>C12</f>
        <v>450</v>
      </c>
      <c r="J9" s="3" t="s">
        <v>40</v>
      </c>
    </row>
    <row r="10" spans="2:10" ht="18.399999999999999" thickBot="1" x14ac:dyDescent="0.6">
      <c r="B10" s="2" t="s">
        <v>59</v>
      </c>
      <c r="C10" s="48">
        <f>SUM('1. Inputs'!N6:N12)</f>
        <v>360</v>
      </c>
      <c r="D10" s="7">
        <f>IFERROR(C10*('1. Inputs'!L23/100*(1+'1. Inputs'!L23/100)^'1. Inputs'!C27)/((1+'1. Inputs'!L23/100)^'1. Inputs'!C27-1),"Missing Inputs")</f>
        <v>51.255900981851298</v>
      </c>
      <c r="G10" s="58" t="s">
        <v>90</v>
      </c>
      <c r="H10" s="8"/>
      <c r="I10" s="8"/>
      <c r="J10" s="9"/>
    </row>
    <row r="11" spans="2:10" x14ac:dyDescent="0.55000000000000004">
      <c r="B11" s="2" t="s">
        <v>50</v>
      </c>
      <c r="C11" s="48">
        <f>SUM('1. Inputs'!N14:N15)</f>
        <v>750</v>
      </c>
      <c r="D11" s="7">
        <f>C11</f>
        <v>750</v>
      </c>
      <c r="G11" s="59" t="s">
        <v>80</v>
      </c>
      <c r="H11" s="60"/>
      <c r="I11" s="55" cm="1">
        <f t="array" ref="I11">SUM(IFERROR(D5:D12,0))+E17+I7+I5</f>
        <v>9051.4895884349444</v>
      </c>
      <c r="J11" s="61" t="s">
        <v>40</v>
      </c>
    </row>
    <row r="12" spans="2:10" ht="18.399999999999999" thickBot="1" x14ac:dyDescent="0.6">
      <c r="B12" s="2" t="s">
        <v>69</v>
      </c>
      <c r="C12" s="48">
        <f>SUM('1. Inputs'!N17:N19)</f>
        <v>450</v>
      </c>
      <c r="D12" s="7">
        <f>C12</f>
        <v>450</v>
      </c>
      <c r="G12" s="62" t="s">
        <v>81</v>
      </c>
      <c r="H12" s="63"/>
      <c r="I12" s="64">
        <f>IFERROR(I11/(D19+D26+D33+D40+D47),"Missing Inputs")</f>
        <v>22.628723971087361</v>
      </c>
      <c r="J12" s="65" t="s">
        <v>51</v>
      </c>
    </row>
    <row r="13" spans="2:10" ht="18.399999999999999" thickBot="1" x14ac:dyDescent="0.6">
      <c r="B13" s="11" t="s">
        <v>27</v>
      </c>
      <c r="C13" s="18">
        <f>SUM(C5:C12)</f>
        <v>44060</v>
      </c>
      <c r="D13" s="12" t="str" cm="1">
        <f t="array" ref="D13">"$ "&amp;TEXT(ROUND(SUM(IFERROR(D5:D12,0)),0),"#,##0")&amp;"  per Year"</f>
        <v>$ 8,317  per Year</v>
      </c>
    </row>
    <row r="16" spans="2:10" ht="23.65" thickBot="1" x14ac:dyDescent="0.75">
      <c r="B16" s="22" t="s">
        <v>77</v>
      </c>
    </row>
    <row r="17" spans="2:10" ht="23.65" thickBot="1" x14ac:dyDescent="0.75">
      <c r="C17" s="113" t="s">
        <v>78</v>
      </c>
      <c r="D17" s="114"/>
      <c r="E17" s="54">
        <f>D24+D31+D38+D45+D52</f>
        <v>264</v>
      </c>
      <c r="G17" s="22" t="s">
        <v>82</v>
      </c>
    </row>
    <row r="18" spans="2:10" ht="18.399999999999999" thickBot="1" x14ac:dyDescent="0.6">
      <c r="B18" s="34" t="s">
        <v>46</v>
      </c>
      <c r="C18" s="100" t="str">
        <f>IF('1. Inputs'!G4="","",'1. Inputs'!G4)</f>
        <v>Enter the chemical name</v>
      </c>
      <c r="D18" s="100"/>
      <c r="E18" s="101"/>
      <c r="G18" s="42" t="s">
        <v>48</v>
      </c>
      <c r="H18" s="41"/>
      <c r="I18" s="66"/>
      <c r="J18" s="40"/>
    </row>
    <row r="19" spans="2:10" x14ac:dyDescent="0.55000000000000004">
      <c r="B19" s="102" t="s">
        <v>76</v>
      </c>
      <c r="C19" s="103"/>
      <c r="D19" s="1">
        <f>'1. Inputs'!G5*'1. Inputs'!G7</f>
        <v>400</v>
      </c>
      <c r="E19" s="3" t="s">
        <v>1</v>
      </c>
      <c r="G19" s="115" t="s">
        <v>47</v>
      </c>
      <c r="H19" s="116"/>
      <c r="I19" s="135">
        <v>16</v>
      </c>
      <c r="J19" s="3" t="s">
        <v>51</v>
      </c>
    </row>
    <row r="20" spans="2:10" x14ac:dyDescent="0.55000000000000004">
      <c r="B20" s="96" t="s">
        <v>2</v>
      </c>
      <c r="C20" s="97"/>
      <c r="D20" s="1">
        <f>'1. Inputs'!G6</f>
        <v>16</v>
      </c>
      <c r="E20" s="3" t="s">
        <v>3</v>
      </c>
      <c r="G20" s="115" t="s">
        <v>80</v>
      </c>
      <c r="H20" s="116"/>
      <c r="I20" s="5">
        <f>I19*(D19+D26+D33+D40+D47)</f>
        <v>6400</v>
      </c>
      <c r="J20" s="3" t="s">
        <v>40</v>
      </c>
    </row>
    <row r="21" spans="2:10" x14ac:dyDescent="0.55000000000000004">
      <c r="B21" s="96" t="s">
        <v>33</v>
      </c>
      <c r="C21" s="97"/>
      <c r="D21" s="1">
        <f>ROUND('1. Inputs'!G5/IF('1. Inputs'!$C$10&gt;0,'1. Inputs'!$C$10,'1. Inputs'!$C$15),1)</f>
        <v>3.3</v>
      </c>
      <c r="E21" s="3" t="s">
        <v>39</v>
      </c>
      <c r="G21" s="2"/>
      <c r="J21" s="3"/>
    </row>
    <row r="22" spans="2:10" x14ac:dyDescent="0.55000000000000004">
      <c r="B22" s="96" t="s">
        <v>34</v>
      </c>
      <c r="C22" s="97"/>
      <c r="D22" s="1">
        <f>ROUNDUP(D20*29.574*'1. Inputs'!G5/1000/'1. Inputs'!$C$8*3.785,0)</f>
        <v>3</v>
      </c>
      <c r="E22" s="3" t="s">
        <v>5</v>
      </c>
      <c r="G22" s="67" t="s">
        <v>86</v>
      </c>
      <c r="H22" s="68"/>
      <c r="I22" s="68"/>
      <c r="J22" s="10"/>
    </row>
    <row r="23" spans="2:10" x14ac:dyDescent="0.55000000000000004">
      <c r="B23" s="96" t="s">
        <v>37</v>
      </c>
      <c r="C23" s="97"/>
      <c r="D23" s="50">
        <f>ROUND((D21+D22*$H$9/60)*'1. Inputs'!$L$24,2)</f>
        <v>66</v>
      </c>
      <c r="E23" s="3" t="s">
        <v>41</v>
      </c>
      <c r="G23" s="2"/>
      <c r="I23" s="69" t="s">
        <v>91</v>
      </c>
      <c r="J23" s="70" t="str">
        <f>IF(ROUNDUP(-LN(1 - ('1. Inputs'!L23/100)*I11/(I20-I11)) / LN(1 + '1. Inputs'!L23/100), 0)&lt;0, "NEVER", ROUNDUP(-LN(1 - ('1. Inputs'!L23/100)*I11/(I20-I11)) / LN(1 + '1. Inputs'!L23/100), 0))</f>
        <v>NEVER</v>
      </c>
    </row>
    <row r="24" spans="2:10" ht="18.399999999999999" thickBot="1" x14ac:dyDescent="0.6">
      <c r="B24" s="104" t="s">
        <v>38</v>
      </c>
      <c r="C24" s="105"/>
      <c r="D24" s="51">
        <f>D23*'1. Inputs'!G7</f>
        <v>264</v>
      </c>
      <c r="E24" s="4" t="s">
        <v>40</v>
      </c>
      <c r="G24" s="2"/>
      <c r="J24" s="3"/>
    </row>
    <row r="25" spans="2:10" ht="18.399999999999999" thickBot="1" x14ac:dyDescent="0.6">
      <c r="B25" s="34" t="s">
        <v>45</v>
      </c>
      <c r="C25" s="100" t="str">
        <f>IF('1. Inputs'!G9="","",'1. Inputs'!G9)</f>
        <v>Enter the chemical name</v>
      </c>
      <c r="D25" s="100"/>
      <c r="E25" s="101"/>
      <c r="G25" s="67" t="s">
        <v>83</v>
      </c>
      <c r="H25" s="68"/>
      <c r="I25" s="68"/>
      <c r="J25" s="10"/>
    </row>
    <row r="26" spans="2:10" x14ac:dyDescent="0.55000000000000004">
      <c r="B26" s="102" t="s">
        <v>76</v>
      </c>
      <c r="C26" s="103"/>
      <c r="D26" s="36">
        <f>'1. Inputs'!G10*'1. Inputs'!G12</f>
        <v>0</v>
      </c>
      <c r="E26" s="3" t="s">
        <v>1</v>
      </c>
      <c r="G26" s="107" t="s">
        <v>49</v>
      </c>
      <c r="H26" s="71" t="s">
        <v>84</v>
      </c>
      <c r="I26" s="109">
        <f>-I11 + (I20 -I11) * (1 - (1 + '1. Inputs'!L23/100)^-5) / ('1. Inputs'!L23/100)</f>
        <v>-19923.120400377644</v>
      </c>
      <c r="J26" s="110"/>
    </row>
    <row r="27" spans="2:10" ht="18.399999999999999" thickBot="1" x14ac:dyDescent="0.6">
      <c r="B27" s="96" t="s">
        <v>2</v>
      </c>
      <c r="C27" s="97"/>
      <c r="D27" s="1">
        <f>'1. Inputs'!G11</f>
        <v>0</v>
      </c>
      <c r="E27" s="3" t="s">
        <v>3</v>
      </c>
      <c r="G27" s="108"/>
      <c r="H27" s="72" t="s">
        <v>85</v>
      </c>
      <c r="I27" s="111">
        <f>-I11 + (I20 -I11) * (1 - (1 + '1. Inputs'!L23/100)^-10) / ('1. Inputs'!L23/100)</f>
        <v>-27674.442917741602</v>
      </c>
      <c r="J27" s="112"/>
    </row>
    <row r="28" spans="2:10" x14ac:dyDescent="0.55000000000000004">
      <c r="B28" s="96" t="s">
        <v>33</v>
      </c>
      <c r="C28" s="97"/>
      <c r="D28" s="1">
        <f>ROUND('1. Inputs'!G10/IF('1. Inputs'!$C$10&gt;0,'1. Inputs'!$C$10,'1. Inputs'!$C$15),1)</f>
        <v>0</v>
      </c>
      <c r="E28" s="3" t="s">
        <v>39</v>
      </c>
    </row>
    <row r="29" spans="2:10" x14ac:dyDescent="0.55000000000000004">
      <c r="B29" s="96" t="s">
        <v>34</v>
      </c>
      <c r="C29" s="97"/>
      <c r="D29" s="1">
        <f>ROUNDUP(D27*29.574*'1. Inputs'!G10/1000/'1. Inputs'!$C$8,0)</f>
        <v>0</v>
      </c>
      <c r="E29" s="3" t="s">
        <v>5</v>
      </c>
    </row>
    <row r="30" spans="2:10" x14ac:dyDescent="0.55000000000000004">
      <c r="B30" s="96" t="s">
        <v>37</v>
      </c>
      <c r="C30" s="97"/>
      <c r="D30" s="50">
        <f>ROUND((D28+D29*$H$9/60)*'1. Inputs'!$L$24,2)</f>
        <v>0</v>
      </c>
      <c r="E30" s="3" t="s">
        <v>41</v>
      </c>
    </row>
    <row r="31" spans="2:10" ht="18.399999999999999" thickBot="1" x14ac:dyDescent="0.6">
      <c r="B31" s="104" t="s">
        <v>38</v>
      </c>
      <c r="C31" s="105"/>
      <c r="D31" s="51">
        <f>D30*'1. Inputs'!G12</f>
        <v>0</v>
      </c>
      <c r="E31" s="4" t="s">
        <v>40</v>
      </c>
    </row>
    <row r="32" spans="2:10" ht="18.399999999999999" thickBot="1" x14ac:dyDescent="0.6">
      <c r="B32" s="34" t="s">
        <v>44</v>
      </c>
      <c r="C32" s="100" t="str">
        <f>IF('1. Inputs'!G14="","",'1. Inputs'!G14)</f>
        <v>Enter the chemical name</v>
      </c>
      <c r="D32" s="100"/>
      <c r="E32" s="101"/>
    </row>
    <row r="33" spans="2:5" x14ac:dyDescent="0.55000000000000004">
      <c r="B33" s="102" t="s">
        <v>76</v>
      </c>
      <c r="C33" s="103"/>
      <c r="D33" s="1">
        <f>'1. Inputs'!G15*'1. Inputs'!G17</f>
        <v>0</v>
      </c>
      <c r="E33" s="3" t="s">
        <v>1</v>
      </c>
    </row>
    <row r="34" spans="2:5" x14ac:dyDescent="0.55000000000000004">
      <c r="B34" s="96" t="s">
        <v>2</v>
      </c>
      <c r="C34" s="97"/>
      <c r="D34" s="1">
        <f>'1. Inputs'!G16</f>
        <v>0</v>
      </c>
      <c r="E34" s="3" t="s">
        <v>3</v>
      </c>
    </row>
    <row r="35" spans="2:5" x14ac:dyDescent="0.55000000000000004">
      <c r="B35" s="96" t="s">
        <v>33</v>
      </c>
      <c r="C35" s="97"/>
      <c r="D35" s="1">
        <f>ROUND('1. Inputs'!G15/IF('1. Inputs'!$C$10&gt;0,'1. Inputs'!$C$10,'1. Inputs'!$C$15),1)</f>
        <v>0</v>
      </c>
      <c r="E35" s="3" t="s">
        <v>39</v>
      </c>
    </row>
    <row r="36" spans="2:5" x14ac:dyDescent="0.55000000000000004">
      <c r="B36" s="96" t="s">
        <v>34</v>
      </c>
      <c r="C36" s="97"/>
      <c r="D36" s="1">
        <f>ROUNDUP(D34*29.574*'1. Inputs'!G15/1000/'1. Inputs'!$C$8,0)</f>
        <v>0</v>
      </c>
      <c r="E36" s="3" t="s">
        <v>5</v>
      </c>
    </row>
    <row r="37" spans="2:5" x14ac:dyDescent="0.55000000000000004">
      <c r="B37" s="96" t="s">
        <v>37</v>
      </c>
      <c r="C37" s="97"/>
      <c r="D37" s="50">
        <f>ROUND((D35+D36*$H$9/60)*'1. Inputs'!$L$24,2)</f>
        <v>0</v>
      </c>
      <c r="E37" s="3" t="s">
        <v>41</v>
      </c>
    </row>
    <row r="38" spans="2:5" ht="18.399999999999999" thickBot="1" x14ac:dyDescent="0.6">
      <c r="B38" s="104" t="s">
        <v>38</v>
      </c>
      <c r="C38" s="105"/>
      <c r="D38" s="51">
        <f>D37*'1. Inputs'!G17</f>
        <v>0</v>
      </c>
      <c r="E38" s="4" t="s">
        <v>40</v>
      </c>
    </row>
    <row r="39" spans="2:5" ht="18.399999999999999" thickBot="1" x14ac:dyDescent="0.6">
      <c r="B39" s="34" t="s">
        <v>43</v>
      </c>
      <c r="C39" s="100" t="str">
        <f>IF('1. Inputs'!G19="","",'1. Inputs'!G19)</f>
        <v>Enter the chemical name</v>
      </c>
      <c r="D39" s="100"/>
      <c r="E39" s="101"/>
    </row>
    <row r="40" spans="2:5" x14ac:dyDescent="0.55000000000000004">
      <c r="B40" s="102" t="s">
        <v>76</v>
      </c>
      <c r="C40" s="106"/>
      <c r="D40" s="53">
        <f>'1. Inputs'!G20*'1. Inputs'!G22</f>
        <v>0</v>
      </c>
      <c r="E40" s="3" t="s">
        <v>1</v>
      </c>
    </row>
    <row r="41" spans="2:5" x14ac:dyDescent="0.55000000000000004">
      <c r="B41" s="96" t="s">
        <v>2</v>
      </c>
      <c r="C41" s="97"/>
      <c r="D41" s="1">
        <f>'1. Inputs'!G21</f>
        <v>0</v>
      </c>
      <c r="E41" s="3" t="s">
        <v>3</v>
      </c>
    </row>
    <row r="42" spans="2:5" x14ac:dyDescent="0.55000000000000004">
      <c r="B42" s="96" t="s">
        <v>33</v>
      </c>
      <c r="C42" s="97"/>
      <c r="D42" s="1">
        <f>ROUND('1. Inputs'!G20/IF('1. Inputs'!$C$10&gt;0,'1. Inputs'!$C$10,'1. Inputs'!$C$15),1)</f>
        <v>0</v>
      </c>
      <c r="E42" s="3" t="s">
        <v>39</v>
      </c>
    </row>
    <row r="43" spans="2:5" x14ac:dyDescent="0.55000000000000004">
      <c r="B43" s="96" t="s">
        <v>34</v>
      </c>
      <c r="C43" s="97"/>
      <c r="D43" s="1">
        <f>ROUNDUP(D41*29.574*'1. Inputs'!G20/1000/'1. Inputs'!$C$8,0)</f>
        <v>0</v>
      </c>
      <c r="E43" s="3" t="s">
        <v>5</v>
      </c>
    </row>
    <row r="44" spans="2:5" x14ac:dyDescent="0.55000000000000004">
      <c r="B44" s="96" t="s">
        <v>37</v>
      </c>
      <c r="C44" s="97"/>
      <c r="D44" s="50">
        <f>ROUND((D42+D43*$H$9/60)*'1. Inputs'!$L$24,2)</f>
        <v>0</v>
      </c>
      <c r="E44" s="3" t="s">
        <v>41</v>
      </c>
    </row>
    <row r="45" spans="2:5" ht="18.399999999999999" thickBot="1" x14ac:dyDescent="0.6">
      <c r="B45" s="104" t="s">
        <v>38</v>
      </c>
      <c r="C45" s="105"/>
      <c r="D45" s="51">
        <f>D44*'1. Inputs'!G22</f>
        <v>0</v>
      </c>
      <c r="E45" s="4" t="s">
        <v>40</v>
      </c>
    </row>
    <row r="46" spans="2:5" ht="18.399999999999999" thickBot="1" x14ac:dyDescent="0.6">
      <c r="B46" s="34" t="s">
        <v>42</v>
      </c>
      <c r="C46" s="100" t="str">
        <f>IF('1. Inputs'!G24="","",'1. Inputs'!G24)</f>
        <v>Enter the chemical name</v>
      </c>
      <c r="D46" s="100"/>
      <c r="E46" s="101"/>
    </row>
    <row r="47" spans="2:5" x14ac:dyDescent="0.55000000000000004">
      <c r="B47" s="102" t="s">
        <v>76</v>
      </c>
      <c r="C47" s="103"/>
      <c r="D47" s="1">
        <f>'1. Inputs'!G25*'1. Inputs'!G27</f>
        <v>0</v>
      </c>
      <c r="E47" s="3" t="s">
        <v>1</v>
      </c>
    </row>
    <row r="48" spans="2:5" x14ac:dyDescent="0.55000000000000004">
      <c r="B48" s="96" t="s">
        <v>2</v>
      </c>
      <c r="C48" s="97"/>
      <c r="D48" s="1">
        <f>'1. Inputs'!G26</f>
        <v>0</v>
      </c>
      <c r="E48" s="3" t="s">
        <v>3</v>
      </c>
    </row>
    <row r="49" spans="2:5" x14ac:dyDescent="0.55000000000000004">
      <c r="B49" s="96" t="s">
        <v>33</v>
      </c>
      <c r="C49" s="97"/>
      <c r="D49" s="1">
        <f>ROUND('1. Inputs'!G25/IF('1. Inputs'!$C$10&gt;0,'1. Inputs'!$C$10,'1. Inputs'!$C$15),1)</f>
        <v>0</v>
      </c>
      <c r="E49" s="3" t="s">
        <v>39</v>
      </c>
    </row>
    <row r="50" spans="2:5" x14ac:dyDescent="0.55000000000000004">
      <c r="B50" s="96" t="s">
        <v>34</v>
      </c>
      <c r="C50" s="97"/>
      <c r="D50" s="1">
        <f>ROUNDUP(D48*29.574*'1. Inputs'!G25/1000/'1. Inputs'!$C$8,0)</f>
        <v>0</v>
      </c>
      <c r="E50" s="3" t="s">
        <v>5</v>
      </c>
    </row>
    <row r="51" spans="2:5" x14ac:dyDescent="0.55000000000000004">
      <c r="B51" s="96" t="s">
        <v>37</v>
      </c>
      <c r="C51" s="97"/>
      <c r="D51" s="50">
        <f>ROUND((D49+D50*$H$9/60)*'1. Inputs'!$L$24,2)</f>
        <v>0</v>
      </c>
      <c r="E51" s="3" t="s">
        <v>41</v>
      </c>
    </row>
    <row r="52" spans="2:5" ht="18.399999999999999" thickBot="1" x14ac:dyDescent="0.6">
      <c r="B52" s="104" t="s">
        <v>38</v>
      </c>
      <c r="C52" s="105"/>
      <c r="D52" s="51">
        <f>D51*'1. Inputs'!G27</f>
        <v>0</v>
      </c>
      <c r="E52" s="4" t="s">
        <v>40</v>
      </c>
    </row>
  </sheetData>
  <sheetProtection algorithmName="SHA-512" hashValue="Fp4wFy2hGaWqtPghwJYauQHZo1ewt1j1k/MllJz7/lt1F4kaLTJS7dtUF9HE0qW58di1WS5PguHT8mVC1XUYBA==" saltValue="6XDugYskYD4uzlBuSXze0g==" spinCount="100000" sheet="1" objects="1" scenarios="1" selectLockedCells="1"/>
  <mergeCells count="42">
    <mergeCell ref="G26:G27"/>
    <mergeCell ref="I26:J26"/>
    <mergeCell ref="I27:J27"/>
    <mergeCell ref="C17:D17"/>
    <mergeCell ref="G19:H19"/>
    <mergeCell ref="G20:H20"/>
    <mergeCell ref="B23:C23"/>
    <mergeCell ref="B24:C24"/>
    <mergeCell ref="C25:E25"/>
    <mergeCell ref="B26:C26"/>
    <mergeCell ref="B49:C49"/>
    <mergeCell ref="B50:C50"/>
    <mergeCell ref="B51:C51"/>
    <mergeCell ref="B52:C52"/>
    <mergeCell ref="B45:C45"/>
    <mergeCell ref="C46:E46"/>
    <mergeCell ref="B47:C47"/>
    <mergeCell ref="B48:C48"/>
    <mergeCell ref="B41:C41"/>
    <mergeCell ref="B42:C42"/>
    <mergeCell ref="B43:C43"/>
    <mergeCell ref="B44:C44"/>
    <mergeCell ref="B36:C36"/>
    <mergeCell ref="B37:C37"/>
    <mergeCell ref="B38:C38"/>
    <mergeCell ref="C39:E39"/>
    <mergeCell ref="B40:C40"/>
    <mergeCell ref="C32:E32"/>
    <mergeCell ref="B33:C33"/>
    <mergeCell ref="B34:C34"/>
    <mergeCell ref="B35:C35"/>
    <mergeCell ref="B28:C28"/>
    <mergeCell ref="B29:C29"/>
    <mergeCell ref="B30:C30"/>
    <mergeCell ref="B31:C31"/>
    <mergeCell ref="B27:C27"/>
    <mergeCell ref="B4:C4"/>
    <mergeCell ref="C18:E18"/>
    <mergeCell ref="B19:C19"/>
    <mergeCell ref="B20:C20"/>
    <mergeCell ref="B21:C21"/>
    <mergeCell ref="B22:C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Introduction</vt:lpstr>
      <vt:lpstr>1. Inputs</vt:lpstr>
      <vt:lpstr>2. Decision Helper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Seowoo Lee</dc:creator>
  <cp:lastModifiedBy>Seowoo Lee</cp:lastModifiedBy>
  <dcterms:created xsi:type="dcterms:W3CDTF">2026-04-06T19:50:46Z</dcterms:created>
  <dcterms:modified xsi:type="dcterms:W3CDTF">2026-06-16T21:34:09Z</dcterms:modified>
</cp:coreProperties>
</file>